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5.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26.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27.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28.xml" ContentType="application/vnd.ms-excel.controlproperties+xml"/>
  <Override PartName="/xl/comments4.xml" ContentType="application/vnd.openxmlformats-officedocument.spreadsheetml.comments+xml"/>
  <Override PartName="/xl/drawings/drawing9.xml" ContentType="application/vnd.openxmlformats-officedocument.drawing+xml"/>
  <Override PartName="/xl/ctrlProps/ctrlProp29.xml" ContentType="application/vnd.ms-excel.controlproperties+xml"/>
  <Override PartName="/xl/comments5.xml" ContentType="application/vnd.openxmlformats-officedocument.spreadsheetml.comments+xml"/>
  <Override PartName="/xl/drawings/drawing10.xml" ContentType="application/vnd.openxmlformats-officedocument.drawing+xml"/>
  <Override PartName="/xl/ctrlProps/ctrlProp30.xml" ContentType="application/vnd.ms-excel.controlproperties+xml"/>
  <Override PartName="/xl/comments6.xml" ContentType="application/vnd.openxmlformats-officedocument.spreadsheetml.comments+xml"/>
  <Override PartName="/xl/drawings/drawing11.xml" ContentType="application/vnd.openxmlformats-officedocument.drawing+xml"/>
  <Override PartName="/xl/ctrlProps/ctrlProp31.xml" ContentType="application/vnd.ms-excel.controlproperties+xml"/>
  <Override PartName="/xl/comments7.xml" ContentType="application/vnd.openxmlformats-officedocument.spreadsheetml.comments+xml"/>
  <Override PartName="/xl/drawings/drawing12.xml" ContentType="application/vnd.openxmlformats-officedocument.drawing+xml"/>
  <Override PartName="/xl/ctrlProps/ctrlProp32.xml" ContentType="application/vnd.ms-excel.controlproperties+xml"/>
  <Override PartName="/xl/comments8.xml" ContentType="application/vnd.openxmlformats-officedocument.spreadsheetml.comments+xml"/>
  <Override PartName="/xl/drawings/drawing13.xml" ContentType="application/vnd.openxmlformats-officedocument.drawing+xml"/>
  <Override PartName="/xl/ctrlProps/ctrlProp33.xml" ContentType="application/vnd.ms-excel.controlproperties+xml"/>
  <Override PartName="/xl/comments9.xml" ContentType="application/vnd.openxmlformats-officedocument.spreadsheetml.comments+xml"/>
  <Override PartName="/xl/drawings/drawing14.xml" ContentType="application/vnd.openxmlformats-officedocument.drawing+xml"/>
  <Override PartName="/xl/comments10.xml" ContentType="application/vnd.openxmlformats-officedocument.spreadsheetml.comments+xml"/>
  <Override PartName="/xl/drawings/drawing15.xml" ContentType="application/vnd.openxmlformats-officedocument.drawing+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codeName="{51196F13-6AD0-C1B8-E2B4-A1F9AE17003E}"/>
  <workbookPr showInkAnnotation="0" codeName="ThisWorkbook"/>
  <mc:AlternateContent xmlns:mc="http://schemas.openxmlformats.org/markup-compatibility/2006">
    <mc:Choice Requires="x15">
      <x15ac:absPath xmlns:x15ac="http://schemas.microsoft.com/office/spreadsheetml/2010/11/ac" url="C:\Users\japanteleeff\Desktop\"/>
    </mc:Choice>
  </mc:AlternateContent>
  <xr:revisionPtr revIDLastSave="0" documentId="8_{FF4A8FEE-FE03-40D4-8EB8-DD452CAE80FE}" xr6:coauthVersionLast="47" xr6:coauthVersionMax="47" xr10:uidLastSave="{00000000-0000-0000-0000-000000000000}"/>
  <bookViews>
    <workbookView xWindow="-120" yWindow="-120" windowWidth="29040" windowHeight="15720" tabRatio="752" xr2:uid="{00000000-000D-0000-FFFF-FFFF00000000}"/>
  </bookViews>
  <sheets>
    <sheet name="Initializing" sheetId="45" r:id="rId1"/>
    <sheet name="Getting Started" sheetId="44" r:id="rId2"/>
    <sheet name="Instructions" sheetId="5" state="veryHidden" r:id="rId3"/>
    <sheet name="Unblocking Macros" sheetId="47" r:id="rId4"/>
    <sheet name="Copyright" sheetId="37" r:id="rId5"/>
    <sheet name="Group R" sheetId="7" state="hidden" r:id="rId6"/>
    <sheet name="Vertical Glazing" sheetId="20" state="hidden" r:id="rId7"/>
    <sheet name="Overhead Glazing" sheetId="21" state="hidden" r:id="rId8"/>
    <sheet name="Doors" sheetId="22" state="hidden" r:id="rId9"/>
    <sheet name="Flat-Vaulted Ceilings" sheetId="23" state="hidden" r:id="rId10"/>
    <sheet name="Walls(above grade)" sheetId="25" state="hidden" r:id="rId11"/>
    <sheet name="Floors" sheetId="26" state="hidden" r:id="rId12"/>
    <sheet name="Slab on Grade" sheetId="27" state="hidden" r:id="rId13"/>
    <sheet name="Below Grade Walls &amp; Slabs" sheetId="28" state="hidden" r:id="rId14"/>
    <sheet name="Table 406.2 (WSEC 2015)" sheetId="34" state="hidden" r:id="rId15"/>
    <sheet name="Weather" sheetId="29" state="hidden" r:id="rId16"/>
    <sheet name="Prototypes" sheetId="46" state="hidden" r:id="rId17"/>
    <sheet name="Agreement Not Accepted" sheetId="41" state="veryHidden" r:id="rId18"/>
    <sheet name="UserRegistration" sheetId="42" state="veryHidden" r:id="rId19"/>
  </sheets>
  <externalReferences>
    <externalReference r:id="rId20"/>
  </externalReferences>
  <definedNames>
    <definedName name="AddToMailingList">Copyright!$D$94</definedName>
    <definedName name="anscount" hidden="1">1</definedName>
    <definedName name="arrCodesClimate">OFFSET([1]codes!$BB$1, 1, 0, COUNTA([1]codes!$BB:$BB) - 1, 1)</definedName>
    <definedName name="arrCodesOptions">OFFSET([1]options!$BY$1, 1, 0, COUNTA([1]options!$BY:$BY) - 1, 1)</definedName>
    <definedName name="CalculationHideArea" localSheetId="13">'Below Grade Walls &amp; Slabs'!$A$152:$A$212</definedName>
    <definedName name="CalculationHideArea" localSheetId="4">Copyright!$B$72:$B$103</definedName>
    <definedName name="CalculationHideArea" localSheetId="5">'Group R'!$C$324:$C$1242</definedName>
    <definedName name="CalculationHideArea">Copyright!$B$72:$B$132</definedName>
    <definedName name="CalculationHideArea_Columns">'Group R'!$AI$2:$CS$2</definedName>
    <definedName name="CBWorkbookPriority" hidden="1">-437235744</definedName>
    <definedName name="CoinMask">Copyright!$D$75</definedName>
    <definedName name="Columns_ExistingBaseline">'Group R'!$Q$64:$AE$64</definedName>
    <definedName name="CompanyName">Copyright!$D$85</definedName>
    <definedName name="ContactInfo1">Copyright!$D$87</definedName>
    <definedName name="ContactInfo2">Copyright!$D$88</definedName>
    <definedName name="ContactInfo3">Copyright!$D$89</definedName>
    <definedName name="ContactInfo4">Copyright!$D$90</definedName>
    <definedName name="CountRegistrations">Copyright!$D$95</definedName>
    <definedName name="Demographic">Copyright!$D$86</definedName>
    <definedName name="DropDown_AboveGradeWalls">'Walls(above grade)'!$B$5:$B$937</definedName>
    <definedName name="DropDown_AirHandlerLocation">'Group R'!$E$673:$E$676</definedName>
    <definedName name="DropDown_Balanced">'Group R'!$E$866:$E$868</definedName>
    <definedName name="DropDown_BelowGradeSlab">'Below Grade Walls &amp; Slabs'!$C$157:$C$206</definedName>
    <definedName name="DropDown_BelowGradeWalls">'Below Grade Walls &amp; Slabs'!$C$4:$C$118</definedName>
    <definedName name="DropDown_Cities">Weather!$B$6:$B$240</definedName>
    <definedName name="DropDown_CodeVersion">'Group R'!$K$398:$K$400</definedName>
    <definedName name="DropDown_Distribution">'Group R'!$E$866:$G$866</definedName>
    <definedName name="DropDown_Doors">Doors!$B$5:$B$80</definedName>
    <definedName name="DropDown_DuctLocation">'Group R'!$E$673:$E$676</definedName>
    <definedName name="DropDown_FlatVaultedCeilings">'Flat-Vaulted Ceilings'!$B$5:$B$341</definedName>
    <definedName name="DropDown_FloorOverCrawlspace">Floors!$B$5:$B$79</definedName>
    <definedName name="DropDown_FuelNormalizationSystem">'Group R'!$F$728:$F$733</definedName>
    <definedName name="DropDown_HideShow">'Group R'!$M$353:$M$355</definedName>
    <definedName name="DropDown_Occupancy">'Group R'!$N$398:$N$400</definedName>
    <definedName name="DropDown_Option_1">'Group R'!$H$408:$H$413</definedName>
    <definedName name="DropDown_Option_2">'Group R'!$H$441:$H$445</definedName>
    <definedName name="DropDown_Option_3">'Group R'!$H$461:$H$472</definedName>
    <definedName name="DropDown_Option_39">'Group R'!$H$506:$H$508</definedName>
    <definedName name="DropDown_Option_4">'Group R'!$H$520:$H$522</definedName>
    <definedName name="DropDown_Option_5">'Group R'!$H$557:$H$564</definedName>
    <definedName name="DropDown_Option_51">'Group R'!$H$534:$H$536</definedName>
    <definedName name="DropDown_Option_52">'Group R'!$H$544:$H$546</definedName>
    <definedName name="DropDown_Option_5a">'Group R'!$H$534:$H$536</definedName>
    <definedName name="DropDown_Option_5bc">'Group R'!$H$557:$H$561</definedName>
    <definedName name="DropDown_Option_5d">'Group R'!$H$583:$H$584</definedName>
    <definedName name="DropDown_Option_6">'Group R'!$H$590:$H$592</definedName>
    <definedName name="DropDown_Option_7">'Group R'!$H$601:$H$603</definedName>
    <definedName name="DropDown_OverheadGlazing">'Overhead Glazing'!$B$5:$B$107</definedName>
    <definedName name="DropDown_PercentRunTime">'Group R'!$F$803:$K$803</definedName>
    <definedName name="DropDown_ProjectType">'Group R'!$E$387:$E$390</definedName>
    <definedName name="DropDown_RowAction">'Group R'!$I$353:$I$356</definedName>
    <definedName name="DropDown_SlabDepths">'Group R'!$E$913:$E$916</definedName>
    <definedName name="DropDown_SlabOnGrade">'Slab on Grade'!$B$5:$B$81</definedName>
    <definedName name="DropDown_SystemType">'Group R'!$H$673:$H$675</definedName>
    <definedName name="DropDown_UseOfCalculator">'Group R'!$E$327:$E$332</definedName>
    <definedName name="DropDown_VerticalGlazing">'Vertical Glazing'!$B$5:$B$244</definedName>
    <definedName name="DropDown_YesNo">'Group R'!$O$353:$O$355</definedName>
    <definedName name="DropDown_YesNoNA">'Group R'!$I$881:$I$884</definedName>
    <definedName name="DuctTesting_Exceptions">'Group R'!$G$257:$G$260</definedName>
    <definedName name="Error_Option3">'Group R'!$F$735</definedName>
    <definedName name="ExcelVersion">Copyright!$C$4</definedName>
    <definedName name="ExceptionTotal">'Group R'!$F$886</definedName>
    <definedName name="FirstName">Copyright!$D$81</definedName>
    <definedName name="Flag_IsDuctless">'Group R'!$J$502</definedName>
    <definedName name="FuelNormSystem_Option">'Group R'!$G$729</definedName>
    <definedName name="FuelNormSystem_Option_31">'Group R'!$I$729</definedName>
    <definedName name="FuelNormSystem_Option_32">'Group R'!$J$729</definedName>
    <definedName name="FuelNormSystem_Option_33">'Group R'!$K$729</definedName>
    <definedName name="FuelNormSystem_Option_34">'Group R'!$L$729</definedName>
    <definedName name="FuelNormSystem_Option_35">'Group R'!$M$729</definedName>
    <definedName name="FuelNormSystem_Option_36">'Group R'!$R$729</definedName>
    <definedName name="FuelNormSystem_Option_37">'Group R'!$P$729</definedName>
    <definedName name="FuelNormSystem_Option2">'Group R'!$G$730</definedName>
    <definedName name="InputArea_ThermalDist">'Group R'!$G$253:$J$255</definedName>
    <definedName name="IntroMessage">Copyright!$G$3</definedName>
    <definedName name="IntroMessage2">Copyright!$G$2</definedName>
    <definedName name="IPAddressCurrent">Copyright!$D$77</definedName>
    <definedName name="IPAddressRegistered">Copyright!$D$78</definedName>
    <definedName name="Item_ProjectType_Addition">'Group R'!$E$389</definedName>
    <definedName name="Item_ProjectType_AdditionAlteration">'Group R'!$E$393</definedName>
    <definedName name="Item_ProjectType_RemodelAlteration">'Group R'!$E$390</definedName>
    <definedName name="Item_Use_CompleteForms">'Group R'!$E$331</definedName>
    <definedName name="Item_Use_RemodelAlteration">'Group R'!#REF!</definedName>
    <definedName name="LastName">Copyright!$D$82</definedName>
    <definedName name="LastWindowRow">'Group R'!$A$163</definedName>
    <definedName name="LeakageStandard_Lower">'Group R'!$F$890</definedName>
    <definedName name="LeakageStandard_Upper">'Group R'!$F$889</definedName>
    <definedName name="limcount" hidden="1">1</definedName>
    <definedName name="MacroMessage">Copyright!$G$1</definedName>
    <definedName name="Menu_AirHandlerInstalled">'Group R'!$G$265</definedName>
    <definedName name="Menu_AirHandlerLocation">'Group R'!$G$255</definedName>
    <definedName name="Menu_CodeVersion">'Group R'!$F$20</definedName>
    <definedName name="Menu_DuctLocation">'Group R'!$G$254</definedName>
    <definedName name="Menu_HydronicDistributionLocation">'Group R'!#REF!</definedName>
    <definedName name="Menu_HydronicHeatingSystem">'Group R'!$G$253</definedName>
    <definedName name="Menu_Option1">'Group R'!$H$51</definedName>
    <definedName name="Menu_Option4">'Group R'!$H$55</definedName>
    <definedName name="Menu_PostConstructionTest">'Group R'!$G$264</definedName>
    <definedName name="Menu_ProjectType">'Group R'!$F$18</definedName>
    <definedName name="Menu_UseOfCalculator">'Group R'!$F$17</definedName>
    <definedName name="MenuItem_ConditionedSpace">'Group R'!$E$674</definedName>
    <definedName name="MenuItem_NonDwellingUnit">'Group R'!$E$332</definedName>
    <definedName name="MenuItem_TotalUA">'Group R'!$E$329</definedName>
    <definedName name="MenuItem_UATradeoff">'Group R'!#REF!</definedName>
    <definedName name="MenuItem_UFactorPath">'Group R'!$E$328</definedName>
    <definedName name="MenuItem_UnconditionedSpace">'Group R'!$E$675</definedName>
    <definedName name="MenuItem_Unducted">'Group R'!$E$676</definedName>
    <definedName name="MenuItem_UserDefinedBaseline">'Group R'!$E$330</definedName>
    <definedName name="MenuItem_WSEC2018">'Group R'!$K$400</definedName>
    <definedName name="MenuSelection_FuelNormSystemType">'Group R'!$H$47</definedName>
    <definedName name="MenuSelection_Option3">'Group R'!$H$53</definedName>
    <definedName name="MenuSelection_Option5">'Group R'!$H$58</definedName>
    <definedName name="Message_FloorArea">'Group R'!$F$391</definedName>
    <definedName name="MessageWarning_FuelNormalizationOption">'Group R'!$F$726</definedName>
    <definedName name="MessageWarning_FuelNormalizationSystem">'Group R'!$F$725</definedName>
    <definedName name="OLE_LINK1" localSheetId="14">'Table 406.2 (WSEC 2015)'!#REF!</definedName>
    <definedName name="PageBreak_1" localSheetId="5">REnter row number as integerC1:REnter row number as integerC1</definedName>
    <definedName name="PageBreak_2">'Group R'!$B$196</definedName>
    <definedName name="PageBreak_2a">'Group R'!$B$100</definedName>
    <definedName name="PageBreak_2b">'Group R'!$B$169</definedName>
    <definedName name="PageBreak_3">'Group R'!$A$271</definedName>
    <definedName name="picture">"Picture32"</definedName>
    <definedName name="_xlnm.Print_Area" localSheetId="1">'Getting Started'!$B$10:$I$40,'Getting Started'!$B$43:$J$211</definedName>
    <definedName name="_xlnm.Print_Area" localSheetId="5">'Group R'!$C$4:$P$298</definedName>
    <definedName name="_xlnm.Print_Area" localSheetId="2">Instructions!$A$1:$A$168</definedName>
    <definedName name="Print_Area_1" localSheetId="1">'Getting Started'!$B$10:$I$40,'Getting Started'!$B$43:$J$211</definedName>
    <definedName name="Print_Area_1" localSheetId="5">'Group R'!$C$4:$P$298</definedName>
    <definedName name="Print_Area_2">'Group R'!$R$64:$AF$298</definedName>
    <definedName name="RegisteredVersion">Copyright!$D$84</definedName>
    <definedName name="RegistrationDate">Copyright!$D$83</definedName>
    <definedName name="Section_AirHandlerInstalled">'Group R'!$D$265</definedName>
    <definedName name="Section_AnalysisSetUp">'Group R'!$F$17:$L$20</definedName>
    <definedName name="Section_DistributionCalculator">'Group R'!$D$252:$F$269</definedName>
    <definedName name="Section_DuctTestingExceptions">'Group R'!$C$256:$C$260</definedName>
    <definedName name="Section_DuctTestLeakageRateCalc">'Group R'!$C$262:$C$267</definedName>
    <definedName name="Section_EnergyCreditResults">'Group R'!$A$40:$E$40</definedName>
    <definedName name="Section_EnergyCredits">'Group R'!$C$49:$Q$62</definedName>
    <definedName name="Section_EnergyCredits_Options2_6">'Group R'!$C$52:$Q$61</definedName>
    <definedName name="Section_Exempt">'Group R'!$D$73,'Group R'!$D$103</definedName>
    <definedName name="Section_FuelNormalization">'Group R'!$C$45:$P$48</definedName>
    <definedName name="Section_HeatingSystemSizing">'Group R'!$E$271:$E$302</definedName>
    <definedName name="Section_HideCompleteFormsOnly">'Group R'!$F$38,'Group R'!$E$299:$E$302,'Group R'!$B$18,'Group R'!$B$22:$B$23,'Group R'!$B$27:$B$37,'Group R'!$B$39,'Group R'!$B$41:$B$42,'Group R'!$B$70:$E$298</definedName>
    <definedName name="Section_OptionSelections">'Group R'!$H$51:$I$60</definedName>
    <definedName name="Section_ShowCompleteFormsOnly" localSheetId="5">'Group R'!$B$26,'Group R'!$B$38,'Group R'!$A$40,'Group R'!$B$43</definedName>
    <definedName name="Section_UserRegistrationData">Copyright!$C$81:$D$95</definedName>
    <definedName name="Section_VentilationCalculator">'Group R'!$D$241:$E$250</definedName>
    <definedName name="Section_WindowRows">'Group R'!$D$104:$D$163</definedName>
    <definedName name="Section_WSEC2021">'Group R'!$C$54:$D$54,'Group R'!$C$57:$D$57</definedName>
    <definedName name="sencount" hidden="1">1</definedName>
    <definedName name="SheetProtection">Copyright!$D$73</definedName>
    <definedName name="SheetsUnhidden">Copyright!$D$74</definedName>
    <definedName name="Switch_CodeVersion">'Group R'!$G$348</definedName>
    <definedName name="Switch_DuctTestingRequired">'Group R'!$G$261</definedName>
    <definedName name="Switch_OnlyForms">'Group R'!$G$349</definedName>
    <definedName name="Switch_Option41Selected">'Group R'!$F$896</definedName>
    <definedName name="Switch_ShowDistributionCalculator">'Group R'!$F$251</definedName>
    <definedName name="Switch_ShowExempt">'Group R'!$G$347</definedName>
    <definedName name="Switch_ShowHeatingSystemSizing">'Group R'!$F$270</definedName>
    <definedName name="Switch_ShowVentilationCalculator">'Group R'!$F$240</definedName>
    <definedName name="Switch_UseOfCalculator_Columns">'Group R'!$H$333</definedName>
    <definedName name="Switch_UseOfCalculator_Rows">'Group R'!$G$333</definedName>
    <definedName name="Table_AboveGradeWalls">'Walls(above grade)'!$B$5:$D$989</definedName>
    <definedName name="Table_Areas">'Group R'!$G$650:$J$660</definedName>
    <definedName name="Table_BelowGrade_Baseline">'Group R'!#REF!</definedName>
    <definedName name="Table_BelowGradeWalls">'Below Grade Walls &amp; Slabs'!$C$4:$F$127</definedName>
    <definedName name="Table_ColumnEnergyCredits">'Group R'!$K$388:$N$393</definedName>
    <definedName name="Table_CustomBelowGradeSlab">'Below Grade Walls &amp; Slabs'!$C$198:$H$206</definedName>
    <definedName name="Table_Doors">Doors!$B$5:$D$118</definedName>
    <definedName name="Table_DuctLossMultiplier">'Group R'!$E$673:$F$676</definedName>
    <definedName name="Table_EnergyCredits">'Group R'!$J$389:$N$392</definedName>
    <definedName name="Table_FlatVaultedCeilings">'Flat-Vaulted Ceilings'!$B$5:$D$379</definedName>
    <definedName name="Table_FloorOverCrawlspace">Floors!$B$5:$D$117</definedName>
    <definedName name="Table_FuelNormalization">'Group R'!$D$689:$H$693</definedName>
    <definedName name="Table_FuelNormCreditOption3Rules">'Group R'!$H$728:$R$733</definedName>
    <definedName name="Table_FuelNormCreditRules">'Group R'!$E$745:$M$749</definedName>
    <definedName name="Table_IsMaxGlazingApplied">'Group R'!$F$371:$G$374</definedName>
    <definedName name="Table_MaxOutputMultiplier">'Group R'!$H$673:$I$675</definedName>
    <definedName name="Table_Option_1_Selected">'Group R'!$H$408:$J$417</definedName>
    <definedName name="Table_Option_2_Selected">'Group R'!$H$441:$J$446</definedName>
    <definedName name="Table_Option_3_Selected">'Group R'!$H$461:$J$472</definedName>
    <definedName name="Table_Option_39">'Group R'!$I$512:$L$513</definedName>
    <definedName name="Table_Option_39_Selected">'Group R'!$H$506:$J$509</definedName>
    <definedName name="Table_Option_4_Selected">'Group R'!$H$520:$J$523</definedName>
    <definedName name="Table_Option_5_Selected">'Group R'!$H$557:$J$564</definedName>
    <definedName name="Table_Option_51_Selected">'Group R'!$H$534:$J$536</definedName>
    <definedName name="Table_Option_52_Selected">'Group R'!$H$544:$J$546</definedName>
    <definedName name="Table_Option_5d">'Group R'!$H$583:$J$584</definedName>
    <definedName name="Table_Option_6_Selected">'Group R'!$H$590:$J$592</definedName>
    <definedName name="Table_Option_7_Selected">'Group R'!$H$601:$J$603</definedName>
    <definedName name="Table_Option1">'Group R'!$I$420:$L$433</definedName>
    <definedName name="Table_Option1_WSEC2015">'Group R'!$H$420:$L$423</definedName>
    <definedName name="Table_Option1_WSEC2018">'Group R'!$H$427:$L$434</definedName>
    <definedName name="Table_Option2">'Group R'!$I$449:$L$456</definedName>
    <definedName name="Table_Option3">'Group R'!$I$475:$L$496</definedName>
    <definedName name="Table_Option4">'Group R'!$I$526:$L$529</definedName>
    <definedName name="Table_Option5">'Group R'!$I$567:$L$578</definedName>
    <definedName name="Table_Option51">'Group R'!$I$539:$L$540</definedName>
    <definedName name="Table_Option52">'Group R'!$I$549:$L$550</definedName>
    <definedName name="Table_Option6">'Group R'!$I$595:$M$596</definedName>
    <definedName name="Table_Option7">'Group R'!$I$607:$L$608</definedName>
    <definedName name="Table_OverheadGlazing">'Overhead Glazing'!$B$5:$D$2020</definedName>
    <definedName name="Table_SlabOnGrade">'Slab on Grade'!$B$5:$D$91</definedName>
    <definedName name="Table_UseOfCalculator">'Group R'!$E$327:$K$332</definedName>
    <definedName name="Table_Uvalue_Options">'Group R'!$F$634:$T$643</definedName>
    <definedName name="Table_VerticalGlazing">'Vertical Glazing'!$B$5:$D$384</definedName>
    <definedName name="Table_Weather">Weather!$B$6:$D$240</definedName>
    <definedName name="Top_of_AboveGradeWalls_Proposed">'Group R'!$A$180</definedName>
    <definedName name="Top_of_BelowGradeSlabs_Proposed">'Group R'!$A$218</definedName>
    <definedName name="Top_of_Ceiling_Proposed">'Group R'!$A$169</definedName>
    <definedName name="Top_of_CustomAboveGradeWalls">'Walls(above grade)'!$A$934</definedName>
    <definedName name="Top_of_CustomBelowGradeSlabs">'Below Grade Walls &amp; Slabs'!$A$119</definedName>
    <definedName name="Top_of_CustomCeiling">'Flat-Vaulted Ceilings'!$A$339</definedName>
    <definedName name="Top_of_CustomDoors">Doors!$A$71</definedName>
    <definedName name="Top_of_CustomFloors">Floors!$A$77</definedName>
    <definedName name="Top_of_CustomOverheadGlazing">'Overhead Glazing'!$A$105</definedName>
    <definedName name="Top_of_CustomSlabs">'Slab on Grade'!$A$79</definedName>
    <definedName name="Top_of_CustomWindows">'Vertical Glazing'!$A$239</definedName>
    <definedName name="Top_of_Doors_Proposed">'Group R'!$A$70</definedName>
    <definedName name="Top_of_DropDown_AboveGradeWalls">'Walls(above grade)'!$B$5</definedName>
    <definedName name="Top_of_DropDown_BelowGradeWalls">'Below Grade Walls &amp; Slabs'!$C$4</definedName>
    <definedName name="Top_of_DropDown_Doors">Doors!$B$5</definedName>
    <definedName name="Top_of_DropDown_FlatVaultedCeilings">'Flat-Vaulted Ceilings'!$B$5</definedName>
    <definedName name="Top_of_DropDown_FloorOverCrawlspace">Floors!$B$5</definedName>
    <definedName name="Top_of_DropDown_Option_1">'Group R'!$H$408</definedName>
    <definedName name="Top_of_DropDown_Option_2">'Group R'!$H$441</definedName>
    <definedName name="Top_of_DropDown_Option_3">'Group R'!$H$461</definedName>
    <definedName name="Top_of_DropDown_Option_39">'Group R'!$H$506</definedName>
    <definedName name="Top_of_DropDown_Option_4">'Group R'!$H$520</definedName>
    <definedName name="Top_of_DropDown_Option_5">'Group R'!$H$557</definedName>
    <definedName name="Top_of_DropDown_Option_51">'Group R'!$H$534</definedName>
    <definedName name="Top_of_DropDown_Option_52">'Group R'!$H$544</definedName>
    <definedName name="Top_of_DropDown_Option_6">'Group R'!$H$590</definedName>
    <definedName name="Top_of_DropDown_Option_7">'Group R'!$H$601</definedName>
    <definedName name="Top_of_DropDown_OverheadGlazing">'Overhead Glazing'!$B$5</definedName>
    <definedName name="Top_of_DropDown_SlabOnGrade">'Slab on Grade'!$B$5</definedName>
    <definedName name="Top_of_DropDown_VerticalGlazing">'Vertical Glazing'!$B$5</definedName>
    <definedName name="Top_of_Floors">'Group R'!$A$196</definedName>
    <definedName name="Top_of_Floors_Proposed">'Group R'!$A$196</definedName>
    <definedName name="Top_of_HeatingSystemSizing">'Group R'!$A$271</definedName>
    <definedName name="Top_of_OverheadGlazing_Proposed">'Group R'!$A$88</definedName>
    <definedName name="Top_of_Sheet" localSheetId="17">'Agreement Not Accepted'!$A$1</definedName>
    <definedName name="Top_of_Sheet" localSheetId="13">'Below Grade Walls &amp; Slabs'!$A$3</definedName>
    <definedName name="Top_of_Sheet" localSheetId="4">Copyright!$A$1</definedName>
    <definedName name="Top_of_Sheet" localSheetId="8">Doors!$A$4</definedName>
    <definedName name="Top_of_Sheet" localSheetId="9">'Flat-Vaulted Ceilings'!$A$4</definedName>
    <definedName name="Top_of_Sheet" localSheetId="11">Floors!$A$4</definedName>
    <definedName name="Top_of_Sheet" localSheetId="1">'Getting Started'!$A$1</definedName>
    <definedName name="Top_of_Sheet" localSheetId="5">'Group R'!$A$2</definedName>
    <definedName name="Top_of_Sheet" localSheetId="0">Initializing!$A$1</definedName>
    <definedName name="Top_of_Sheet" localSheetId="2">Instructions!$A$1</definedName>
    <definedName name="Top_of_Sheet" localSheetId="7">'Overhead Glazing'!$A$4</definedName>
    <definedName name="Top_of_Sheet" localSheetId="16">Prototypes!$A$1</definedName>
    <definedName name="Top_of_Sheet" localSheetId="12">'Slab on Grade'!$A$4</definedName>
    <definedName name="Top_of_Sheet" localSheetId="18">UserRegistration!$A$1</definedName>
    <definedName name="Top_of_Sheet" localSheetId="6">'Vertical Glazing'!$A$4</definedName>
    <definedName name="Top_of_Sheet" localSheetId="10">'Walls(above grade)'!$A$4</definedName>
    <definedName name="Top_of_Sheet" localSheetId="15">Weather!$A$6</definedName>
    <definedName name="Top_of_Sheet">'Table 406.2 (WSEC 2015)'!$A$1</definedName>
    <definedName name="Top_of_Slabs_Proposed">'Group R'!$A$207</definedName>
    <definedName name="Top_of_ThermalEnvelopeDetails">'Group R'!$A$64</definedName>
    <definedName name="Top_of_VerticalGlazing_Proposed">'Group R'!$A$100</definedName>
    <definedName name="TopOf_UserRegistrationToSend">UserRegistration!$A$3</definedName>
    <definedName name="Unlock" localSheetId="13">'Below Grade Walls &amp; Slabs'!$C$120:$C$127,'Below Grade Walls &amp; Slabs'!$E$120:$F$127,'Below Grade Walls &amp; Slabs'!$G$120:$G$127</definedName>
    <definedName name="Unlock" localSheetId="4">Copyright!$A$1,Copyright!$D$78:$D$78,Copyright!$D$81:$D$94,Copyright!$G$1,Copyright!$L$2:$S$5,Copyright!$C$4</definedName>
    <definedName name="Unlock" localSheetId="8">Doors!$B$72:$B$118,Doors!$D$72:$E$118</definedName>
    <definedName name="Unlock" localSheetId="9">'Flat-Vaulted Ceilings'!$B$340:$B$379,'Flat-Vaulted Ceilings'!$D$340:$E$379</definedName>
    <definedName name="Unlock" localSheetId="11">Floors!$B$78:$B$117,Floors!$D$78:$E$117</definedName>
    <definedName name="Unlock" localSheetId="1">'Getting Started'!$A$1</definedName>
    <definedName name="Unlock" localSheetId="5">'Group R'!$A$40,'Group R'!$A$2,'Group R'!$F$282:$I$282,'Group R'!$R$3:$AE$61,'Group R'!$C$5:$E$13,'Group R'!$F$17:$L$17,'Group R'!$F$18:$I$20,'Group R'!$H$47:$K$47,'Group R'!$H$51:$I$60,'Group R'!$F$59,'Group R'!$H$65,'Group R'!$H$67:$O$67,'Group R'!$U$65,'Group R'!$U$67:$AD$67,'Group R'!$E$73,'Group R'!$D$74:$E$83,'Group R'!$H$73:$L$83,'Group R'!$S$74:$T$83,'Group R'!$W$74:$AA$83,'Group R'!$D$91:$E$95,'Group R'!$H$91:$L$95,'Group R'!$S$91:$T$95,'Group R'!$W$91:$AA$95,'Group R'!$E$103,'Group R'!$D$104:$E$163,'Group R'!$H$103:$L$163,'Group R'!$S$104:$T$163,'Group R'!$W$104:$AA$163,'Group R'!$D$172:$E$175,'Group R'!$M$172:$M$175,'Group R'!$S$172:$T$175,'Group R'!$AB$172:$AB$175,'Group R'!$AB$183:$AB$190,'Group R'!$S$183:$T$190,'Group R'!$M$183:$M$190,'Group R'!$D$183:$E$190,'Group R'!$D$199:$E$202,'Group R'!$S$199:$T$202,'Group R'!$M$199:$M$202,'Group R'!$AB$199:$AB$201,'Group R'!$D$210:$E$213,'Group R'!$M$210:$M$213,'Group R'!$S$210:$T$213,'Group R'!$AB$210:$AB$213,'Group R'!$AB$221:$AB$224,'Group R'!$X$221:$X$224,'Group R'!$S$221:$T$224,'Group R'!$M$221:$M$224,'Group R'!$I$221:$I$224,'Group R'!$D$221:$E$224,'Group R'!$F$272:$I$272,'Group R'!$F$278,'Group R'!$F$282:$I$283,'Group R'!$U$278,'Group R'!$U$282:$X$283,'Group R'!$I$271:$O$271</definedName>
    <definedName name="Unlock" localSheetId="0">Initializing!$A$1</definedName>
    <definedName name="Unlock" localSheetId="7">'Overhead Glazing'!$B$106:$B$2020,'Overhead Glazing'!$D$106:$E$2020</definedName>
    <definedName name="Unlock" localSheetId="12">'Slab on Grade'!$B$80:$B$91,'Slab on Grade'!$D$80:$E$91,'Slab on Grade'!$I$81:$I$91</definedName>
    <definedName name="Unlock" localSheetId="6">'Vertical Glazing'!$B$240:$B$384,'Vertical Glazing'!$D$240:$E$384</definedName>
    <definedName name="Unlock" localSheetId="10">'Walls(above grade)'!$B$935:$B$989,'Walls(above grade)'!$D$935:$E$989</definedName>
    <definedName name="UserCity">Copyright!$D$91</definedName>
    <definedName name="UserState">Copyright!$D$92</definedName>
    <definedName name="Version">Copyright!$B$2</definedName>
    <definedName name="VersionDate">Copyright!$C$3</definedName>
    <definedName name="WindowRowsToShow">'Group R'!$N$100</definedName>
    <definedName name="Z_3A20BFFC_9D9E_415D_AC5D_1CC81DA9B04C_.wvu.Cols" localSheetId="5" hidden="1">'Group R'!$P:$R</definedName>
    <definedName name="Z_3A20BFFC_9D9E_415D_AC5D_1CC81DA9B04C_.wvu.PrintArea" localSheetId="5" hidden="1">'Group R'!$D$5:$N$227</definedName>
    <definedName name="Z_3A20BFFC_9D9E_415D_AC5D_1CC81DA9B04C_.wvu.PrintArea" localSheetId="2" hidden="1">Instructions!$A$1:$A$168</definedName>
    <definedName name="Zipcode">Copyright!$D$93</definedName>
  </definedNames>
  <calcPr calcId="191029" iterate="1" iterateDelta="0.01"/>
  <customWorkbookViews>
    <customWorkbookView name="LUKHOW - Personal View" guid="{3A20BFFC-9D9E-415D-AC5D-1CC81DA9B04C}" mergeInterval="0" personalView="1" maximized="1" xWindow="1" yWindow="1" windowWidth="1596" windowHeight="962" tabRatio="752" activeSheetId="7"/>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4" i="7" l="1"/>
  <c r="L54" i="7" s="1"/>
  <c r="D17" i="22" l="1"/>
  <c r="D16" i="22"/>
  <c r="D15" i="22"/>
  <c r="D14" i="22"/>
  <c r="D13" i="22"/>
  <c r="D12" i="22"/>
  <c r="D11" i="22"/>
  <c r="D10" i="22"/>
  <c r="D7" i="22"/>
  <c r="J18" i="7" l="1"/>
  <c r="G333" i="7" l="1"/>
  <c r="O224" i="7" l="1"/>
  <c r="O223" i="7"/>
  <c r="O222" i="7"/>
  <c r="M199" i="7" l="1"/>
  <c r="H650" i="7" l="1"/>
  <c r="G770" i="7"/>
  <c r="H119" i="28" l="1"/>
  <c r="F77" i="26"/>
  <c r="F934" i="25"/>
  <c r="F239" i="20"/>
  <c r="F105" i="21"/>
  <c r="F71" i="22"/>
  <c r="E62" i="7"/>
  <c r="M17" i="7"/>
  <c r="J1" i="44"/>
  <c r="U183" i="7" l="1"/>
  <c r="J4" i="7" l="1"/>
  <c r="I338" i="7"/>
  <c r="J2" i="45"/>
  <c r="J2" i="47"/>
  <c r="J2" i="44"/>
  <c r="J20" i="7" l="1"/>
  <c r="J329" i="7" l="1"/>
  <c r="G199" i="7" l="1"/>
  <c r="C4" i="47" l="1"/>
  <c r="C16" i="47"/>
  <c r="C15" i="47"/>
  <c r="C14" i="47"/>
  <c r="C3" i="47"/>
  <c r="C2" i="47"/>
  <c r="C1" i="47"/>
  <c r="F627" i="7" l="1"/>
  <c r="H651" i="7"/>
  <c r="D11" i="27" l="1"/>
  <c r="D10" i="27"/>
  <c r="G778" i="7" l="1"/>
  <c r="F38" i="7" l="1"/>
  <c r="F378" i="7" l="1"/>
  <c r="G369" i="7" l="1"/>
  <c r="F369" i="7"/>
  <c r="F374" i="7"/>
  <c r="F373" i="7"/>
  <c r="F372" i="7"/>
  <c r="F371" i="7"/>
  <c r="F368" i="7"/>
  <c r="F375" i="7" l="1"/>
  <c r="C5" i="44" l="1"/>
  <c r="C38" i="45" l="1"/>
  <c r="C37" i="45"/>
  <c r="C36" i="45"/>
  <c r="B35" i="45"/>
  <c r="D16" i="27" l="1"/>
  <c r="C16" i="27"/>
  <c r="B16" i="27"/>
  <c r="M132" i="27" l="1"/>
  <c r="L132" i="27"/>
  <c r="M131" i="27"/>
  <c r="L131" i="27"/>
  <c r="M130" i="27"/>
  <c r="L130" i="27"/>
  <c r="M129" i="27"/>
  <c r="L129" i="27"/>
  <c r="M128" i="27"/>
  <c r="L128" i="27"/>
  <c r="M127" i="27"/>
  <c r="L127" i="27"/>
  <c r="M126" i="27"/>
  <c r="L126" i="27"/>
  <c r="M125" i="27"/>
  <c r="L125" i="27"/>
  <c r="M124" i="27"/>
  <c r="L124" i="27"/>
  <c r="M123" i="27"/>
  <c r="L123" i="27"/>
  <c r="M122" i="27"/>
  <c r="L122" i="27"/>
  <c r="M121" i="27"/>
  <c r="L121" i="27"/>
  <c r="M120" i="27"/>
  <c r="L120" i="27"/>
  <c r="K82" i="27"/>
  <c r="K81" i="27"/>
  <c r="J82" i="27"/>
  <c r="J81" i="27"/>
  <c r="D268" i="7" l="1"/>
  <c r="H741" i="7"/>
  <c r="H740" i="7"/>
  <c r="M740" i="7"/>
  <c r="L740" i="7"/>
  <c r="K740" i="7"/>
  <c r="I740" i="7" l="1"/>
  <c r="AF53" i="7" l="1"/>
  <c r="AF58" i="7"/>
  <c r="L753" i="7" l="1"/>
  <c r="K753" i="7"/>
  <c r="F903" i="7" l="1"/>
  <c r="G902" i="7"/>
  <c r="D9" i="27" l="1"/>
  <c r="C9" i="27"/>
  <c r="L608" i="7" l="1"/>
  <c r="L607" i="7"/>
  <c r="L596" i="7"/>
  <c r="L595" i="7"/>
  <c r="L577" i="7"/>
  <c r="L576" i="7"/>
  <c r="L575" i="7"/>
  <c r="L574" i="7"/>
  <c r="L573" i="7"/>
  <c r="L572" i="7"/>
  <c r="L571" i="7"/>
  <c r="L570" i="7"/>
  <c r="L569" i="7"/>
  <c r="L568" i="7"/>
  <c r="L567" i="7"/>
  <c r="L549" i="7"/>
  <c r="L540" i="7"/>
  <c r="L539" i="7"/>
  <c r="L529" i="7"/>
  <c r="L528" i="7"/>
  <c r="L526" i="7"/>
  <c r="L512" i="7"/>
  <c r="L492" i="7"/>
  <c r="L491" i="7"/>
  <c r="L490" i="7"/>
  <c r="L489" i="7"/>
  <c r="L488" i="7"/>
  <c r="L487" i="7"/>
  <c r="L486" i="7"/>
  <c r="L484" i="7"/>
  <c r="L483" i="7"/>
  <c r="L482" i="7"/>
  <c r="L481" i="7"/>
  <c r="L480" i="7"/>
  <c r="L479" i="7"/>
  <c r="L478" i="7"/>
  <c r="L477" i="7"/>
  <c r="L476" i="7"/>
  <c r="L475" i="7"/>
  <c r="L433" i="7"/>
  <c r="L432" i="7"/>
  <c r="L431" i="7"/>
  <c r="L430" i="7"/>
  <c r="L429" i="7"/>
  <c r="L428" i="7"/>
  <c r="L427" i="7"/>
  <c r="L423" i="7"/>
  <c r="L422" i="7"/>
  <c r="L421" i="7"/>
  <c r="L420" i="7"/>
  <c r="L456" i="7"/>
  <c r="L455" i="7"/>
  <c r="L454" i="7"/>
  <c r="L453" i="7"/>
  <c r="L451" i="7"/>
  <c r="L450" i="7"/>
  <c r="L449" i="7"/>
  <c r="Q58" i="7" l="1"/>
  <c r="O740" i="7"/>
  <c r="N740" i="7"/>
  <c r="F740" i="7"/>
  <c r="C58" i="7" l="1"/>
  <c r="D45" i="7"/>
  <c r="C53" i="7" l="1"/>
  <c r="D704" i="7" l="1"/>
  <c r="D703" i="7"/>
  <c r="D702" i="7"/>
  <c r="D701" i="7"/>
  <c r="D700" i="7"/>
  <c r="F882" i="7" l="1"/>
  <c r="H258" i="7"/>
  <c r="AF20" i="7" l="1"/>
  <c r="G117" i="28" l="1"/>
  <c r="F117" i="28"/>
  <c r="E117" i="28"/>
  <c r="D117" i="28"/>
  <c r="G116" i="28"/>
  <c r="F116" i="28"/>
  <c r="E116" i="28"/>
  <c r="D116" i="28"/>
  <c r="G115" i="28"/>
  <c r="F115" i="28"/>
  <c r="E115" i="28"/>
  <c r="D115" i="28"/>
  <c r="G114" i="28"/>
  <c r="F114" i="28"/>
  <c r="E114" i="28"/>
  <c r="D114" i="28"/>
  <c r="G113" i="28"/>
  <c r="F113" i="28"/>
  <c r="E113" i="28"/>
  <c r="D113" i="28"/>
  <c r="G112" i="28"/>
  <c r="F112" i="28"/>
  <c r="E112" i="28"/>
  <c r="D112" i="28"/>
  <c r="G111" i="28"/>
  <c r="F111" i="28"/>
  <c r="E111" i="28"/>
  <c r="D111" i="28"/>
  <c r="G110" i="28"/>
  <c r="F110" i="28"/>
  <c r="E110" i="28"/>
  <c r="D110" i="28"/>
  <c r="G109" i="28"/>
  <c r="F109" i="28"/>
  <c r="E109" i="28"/>
  <c r="D109" i="28"/>
  <c r="G108" i="28"/>
  <c r="F108" i="28"/>
  <c r="E108" i="28"/>
  <c r="D108" i="28"/>
  <c r="G107" i="28"/>
  <c r="F107" i="28"/>
  <c r="E107" i="28"/>
  <c r="D107" i="28"/>
  <c r="G106" i="28"/>
  <c r="F106" i="28"/>
  <c r="E106" i="28"/>
  <c r="D106" i="28"/>
  <c r="G105" i="28"/>
  <c r="F105" i="28"/>
  <c r="E105" i="28"/>
  <c r="D105" i="28"/>
  <c r="G104" i="28"/>
  <c r="F104" i="28"/>
  <c r="E104" i="28"/>
  <c r="D104" i="28"/>
  <c r="G103" i="28"/>
  <c r="F103" i="28"/>
  <c r="E103" i="28"/>
  <c r="D103" i="28"/>
  <c r="G102" i="28"/>
  <c r="D102" i="28"/>
  <c r="G101" i="28"/>
  <c r="D101" i="28"/>
  <c r="G100" i="28"/>
  <c r="D100" i="28"/>
  <c r="G99" i="28"/>
  <c r="D99" i="28"/>
  <c r="G98" i="28"/>
  <c r="D98" i="28"/>
  <c r="G97" i="28"/>
  <c r="D97" i="28"/>
  <c r="G96" i="28"/>
  <c r="F96" i="28"/>
  <c r="E96" i="28"/>
  <c r="D96" i="28"/>
  <c r="G95" i="28"/>
  <c r="F95" i="28"/>
  <c r="E95" i="28"/>
  <c r="D95" i="28"/>
  <c r="G94" i="28"/>
  <c r="F94" i="28"/>
  <c r="E94" i="28"/>
  <c r="D94" i="28"/>
  <c r="G93" i="28"/>
  <c r="F93" i="28"/>
  <c r="E93" i="28"/>
  <c r="D93" i="28"/>
  <c r="G92" i="28"/>
  <c r="F92" i="28"/>
  <c r="E92" i="28"/>
  <c r="D92" i="28"/>
  <c r="G91" i="28"/>
  <c r="F91" i="28"/>
  <c r="E91" i="28"/>
  <c r="D91" i="28"/>
  <c r="G90" i="28"/>
  <c r="F90" i="28"/>
  <c r="E90" i="28"/>
  <c r="D90" i="28"/>
  <c r="G87" i="28"/>
  <c r="F87" i="28"/>
  <c r="E87" i="28"/>
  <c r="D87" i="28"/>
  <c r="G86" i="28"/>
  <c r="F86" i="28"/>
  <c r="E86" i="28"/>
  <c r="D86" i="28"/>
  <c r="G85" i="28"/>
  <c r="F85" i="28"/>
  <c r="E85" i="28"/>
  <c r="D85" i="28"/>
  <c r="G84" i="28"/>
  <c r="F84" i="28"/>
  <c r="E84" i="28"/>
  <c r="D84" i="28"/>
  <c r="G83" i="28"/>
  <c r="F83" i="28"/>
  <c r="E83" i="28"/>
  <c r="D83" i="28"/>
  <c r="G82" i="28"/>
  <c r="F82" i="28"/>
  <c r="E82" i="28"/>
  <c r="D82" i="28"/>
  <c r="G81" i="28"/>
  <c r="F81" i="28"/>
  <c r="E81" i="28"/>
  <c r="D81" i="28"/>
  <c r="G80" i="28"/>
  <c r="F80" i="28"/>
  <c r="E80" i="28"/>
  <c r="D80" i="28"/>
  <c r="G79" i="28"/>
  <c r="F79" i="28"/>
  <c r="E79" i="28"/>
  <c r="D79" i="28"/>
  <c r="G78" i="28"/>
  <c r="F78" i="28"/>
  <c r="E78" i="28"/>
  <c r="D78" i="28"/>
  <c r="G77" i="28"/>
  <c r="F77" i="28"/>
  <c r="E77" i="28"/>
  <c r="D77" i="28"/>
  <c r="G76" i="28"/>
  <c r="F76" i="28"/>
  <c r="E76" i="28"/>
  <c r="D76" i="28"/>
  <c r="G75" i="28"/>
  <c r="F75" i="28"/>
  <c r="E75" i="28"/>
  <c r="D75" i="28"/>
  <c r="G74" i="28"/>
  <c r="F74" i="28"/>
  <c r="E74" i="28"/>
  <c r="D74" i="28"/>
  <c r="G73" i="28"/>
  <c r="F73" i="28"/>
  <c r="E73" i="28"/>
  <c r="D73" i="28"/>
  <c r="G72" i="28"/>
  <c r="D72" i="28"/>
  <c r="G71" i="28"/>
  <c r="D71" i="28"/>
  <c r="G70" i="28"/>
  <c r="D70" i="28"/>
  <c r="G69" i="28"/>
  <c r="D69" i="28"/>
  <c r="G68" i="28"/>
  <c r="D68" i="28"/>
  <c r="G67" i="28"/>
  <c r="D67" i="28"/>
  <c r="G66" i="28"/>
  <c r="F66" i="28"/>
  <c r="E66" i="28"/>
  <c r="D66" i="28"/>
  <c r="G65" i="28"/>
  <c r="F65" i="28"/>
  <c r="E65" i="28"/>
  <c r="D65" i="28"/>
  <c r="G64" i="28"/>
  <c r="F64" i="28"/>
  <c r="E64" i="28"/>
  <c r="D64" i="28"/>
  <c r="G63" i="28"/>
  <c r="F63" i="28"/>
  <c r="E63" i="28"/>
  <c r="D63" i="28"/>
  <c r="G62" i="28"/>
  <c r="F62" i="28"/>
  <c r="E62" i="28"/>
  <c r="D62" i="28"/>
  <c r="G61" i="28"/>
  <c r="F61" i="28"/>
  <c r="E61" i="28"/>
  <c r="D61" i="28"/>
  <c r="G60" i="28"/>
  <c r="F60" i="28"/>
  <c r="E60" i="28"/>
  <c r="D60" i="28"/>
  <c r="G57" i="28"/>
  <c r="F57" i="28"/>
  <c r="E57" i="28"/>
  <c r="D57" i="28"/>
  <c r="G56" i="28"/>
  <c r="F56" i="28"/>
  <c r="E56" i="28"/>
  <c r="D56" i="28"/>
  <c r="G55" i="28"/>
  <c r="F55" i="28"/>
  <c r="E55" i="28"/>
  <c r="D55" i="28"/>
  <c r="G54" i="28"/>
  <c r="F54" i="28"/>
  <c r="E54" i="28"/>
  <c r="D54" i="28"/>
  <c r="G53" i="28"/>
  <c r="F53" i="28"/>
  <c r="E53" i="28"/>
  <c r="D53" i="28"/>
  <c r="G52" i="28"/>
  <c r="F52" i="28"/>
  <c r="E52" i="28"/>
  <c r="D52" i="28"/>
  <c r="G51" i="28"/>
  <c r="F51" i="28"/>
  <c r="E51" i="28"/>
  <c r="D51" i="28"/>
  <c r="G50" i="28"/>
  <c r="F50" i="28"/>
  <c r="E50" i="28"/>
  <c r="D50" i="28"/>
  <c r="G49" i="28"/>
  <c r="F49" i="28"/>
  <c r="E49" i="28"/>
  <c r="D49" i="28"/>
  <c r="G48" i="28"/>
  <c r="F48" i="28"/>
  <c r="E48" i="28"/>
  <c r="D48" i="28"/>
  <c r="G47" i="28"/>
  <c r="F47" i="28"/>
  <c r="E47" i="28"/>
  <c r="D47" i="28"/>
  <c r="G46" i="28"/>
  <c r="F46" i="28"/>
  <c r="E46" i="28"/>
  <c r="D46" i="28"/>
  <c r="G45" i="28"/>
  <c r="F45" i="28"/>
  <c r="E45" i="28"/>
  <c r="D45" i="28"/>
  <c r="G44" i="28"/>
  <c r="F44" i="28"/>
  <c r="E44" i="28"/>
  <c r="D44" i="28"/>
  <c r="G43" i="28"/>
  <c r="F43" i="28"/>
  <c r="E43" i="28"/>
  <c r="D43" i="28"/>
  <c r="G42" i="28"/>
  <c r="D42" i="28"/>
  <c r="G41" i="28"/>
  <c r="D41" i="28"/>
  <c r="G40" i="28"/>
  <c r="D40" i="28"/>
  <c r="G39" i="28"/>
  <c r="D39" i="28"/>
  <c r="G38" i="28"/>
  <c r="D38" i="28"/>
  <c r="G37" i="28"/>
  <c r="D37" i="28"/>
  <c r="G36" i="28"/>
  <c r="F36" i="28"/>
  <c r="E36" i="28"/>
  <c r="D36" i="28"/>
  <c r="G35" i="28"/>
  <c r="F35" i="28"/>
  <c r="E35" i="28"/>
  <c r="D35" i="28"/>
  <c r="G34" i="28"/>
  <c r="F34" i="28"/>
  <c r="E34" i="28"/>
  <c r="D34" i="28"/>
  <c r="G33" i="28"/>
  <c r="F33" i="28"/>
  <c r="E33" i="28"/>
  <c r="D33" i="28"/>
  <c r="G32" i="28"/>
  <c r="F32" i="28"/>
  <c r="E32" i="28"/>
  <c r="D32" i="28"/>
  <c r="G31" i="28"/>
  <c r="F31" i="28"/>
  <c r="E31" i="28"/>
  <c r="D31" i="28"/>
  <c r="G30" i="28"/>
  <c r="F30" i="28"/>
  <c r="E30" i="28"/>
  <c r="D30" i="28"/>
  <c r="N179" i="28"/>
  <c r="F100" i="28" s="1"/>
  <c r="M179" i="28"/>
  <c r="E100" i="28" s="1"/>
  <c r="L179" i="28"/>
  <c r="C100" i="28" s="1"/>
  <c r="K179" i="28"/>
  <c r="F70" i="28" s="1"/>
  <c r="J179" i="28"/>
  <c r="E70" i="28" s="1"/>
  <c r="I179" i="28"/>
  <c r="C70" i="28" s="1"/>
  <c r="F179" i="28"/>
  <c r="C40" i="28" s="1"/>
  <c r="H179" i="28"/>
  <c r="F40" i="28" s="1"/>
  <c r="G179" i="28"/>
  <c r="E40" i="28" s="1"/>
  <c r="L186" i="28"/>
  <c r="C107" i="28" s="1"/>
  <c r="I186" i="28"/>
  <c r="C77" i="28" s="1"/>
  <c r="F186" i="28"/>
  <c r="C47" i="28" s="1"/>
  <c r="A158" i="28" l="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80" i="28" s="1"/>
  <c r="A181" i="28" s="1"/>
  <c r="A182" i="28" s="1"/>
  <c r="A183" i="28" s="1"/>
  <c r="A184" i="28" s="1"/>
  <c r="A185" i="28" s="1"/>
  <c r="A187" i="28" s="1"/>
  <c r="A188" i="28" s="1"/>
  <c r="A189" i="28" s="1"/>
  <c r="A190" i="28" s="1"/>
  <c r="A191" i="28" s="1"/>
  <c r="A192" i="28" s="1"/>
  <c r="A193" i="28" s="1"/>
  <c r="A194" i="28" s="1"/>
  <c r="A195" i="28" s="1"/>
  <c r="A196" i="28" s="1"/>
  <c r="C159" i="28"/>
  <c r="D159" i="28" s="1"/>
  <c r="C160" i="28"/>
  <c r="L160" i="28" s="1"/>
  <c r="C161" i="28"/>
  <c r="L161" i="28" s="1"/>
  <c r="C162" i="28"/>
  <c r="L162" i="28" s="1"/>
  <c r="C163" i="28"/>
  <c r="I163" i="28" s="1"/>
  <c r="C164" i="28"/>
  <c r="I164" i="28" s="1"/>
  <c r="C165" i="28"/>
  <c r="I165" i="28" s="1"/>
  <c r="F167" i="28"/>
  <c r="I167" i="28"/>
  <c r="L167" i="28"/>
  <c r="F168" i="28"/>
  <c r="I168" i="28"/>
  <c r="L168" i="28"/>
  <c r="F169" i="28"/>
  <c r="C30" i="28" s="1"/>
  <c r="I169" i="28"/>
  <c r="C60" i="28" s="1"/>
  <c r="L169" i="28"/>
  <c r="C90" i="28" s="1"/>
  <c r="F170" i="28"/>
  <c r="C31" i="28" s="1"/>
  <c r="I170" i="28"/>
  <c r="C61" i="28" s="1"/>
  <c r="L170" i="28"/>
  <c r="C91" i="28" s="1"/>
  <c r="F171" i="28"/>
  <c r="C32" i="28" s="1"/>
  <c r="I171" i="28"/>
  <c r="C62" i="28" s="1"/>
  <c r="L171" i="28"/>
  <c r="C92" i="28" s="1"/>
  <c r="F172" i="28"/>
  <c r="C33" i="28" s="1"/>
  <c r="I172" i="28"/>
  <c r="C63" i="28" s="1"/>
  <c r="L172" i="28"/>
  <c r="C93" i="28" s="1"/>
  <c r="F173" i="28"/>
  <c r="C34" i="28" s="1"/>
  <c r="I173" i="28"/>
  <c r="C64" i="28" s="1"/>
  <c r="L173" i="28"/>
  <c r="C94" i="28" s="1"/>
  <c r="F174" i="28"/>
  <c r="C35" i="28" s="1"/>
  <c r="I174" i="28"/>
  <c r="C65" i="28" s="1"/>
  <c r="L174" i="28"/>
  <c r="C95" i="28" s="1"/>
  <c r="F175" i="28"/>
  <c r="C36" i="28" s="1"/>
  <c r="I175" i="28"/>
  <c r="C66" i="28" s="1"/>
  <c r="L175" i="28"/>
  <c r="C96" i="28" s="1"/>
  <c r="F176" i="28"/>
  <c r="C37" i="28" s="1"/>
  <c r="G176" i="28"/>
  <c r="E37" i="28" s="1"/>
  <c r="H176" i="28"/>
  <c r="F37" i="28" s="1"/>
  <c r="I176" i="28"/>
  <c r="C67" i="28" s="1"/>
  <c r="J176" i="28"/>
  <c r="E67" i="28" s="1"/>
  <c r="K176" i="28"/>
  <c r="F67" i="28" s="1"/>
  <c r="L176" i="28"/>
  <c r="C97" i="28" s="1"/>
  <c r="M176" i="28"/>
  <c r="E97" i="28" s="1"/>
  <c r="N176" i="28"/>
  <c r="F97" i="28" s="1"/>
  <c r="F177" i="28"/>
  <c r="C38" i="28" s="1"/>
  <c r="G177" i="28"/>
  <c r="E38" i="28" s="1"/>
  <c r="H177" i="28"/>
  <c r="F38" i="28" s="1"/>
  <c r="I177" i="28"/>
  <c r="C68" i="28" s="1"/>
  <c r="J177" i="28"/>
  <c r="E68" i="28" s="1"/>
  <c r="K177" i="28"/>
  <c r="F68" i="28" s="1"/>
  <c r="L177" i="28"/>
  <c r="C98" i="28" s="1"/>
  <c r="M177" i="28"/>
  <c r="E98" i="28" s="1"/>
  <c r="N177" i="28"/>
  <c r="F98" i="28" s="1"/>
  <c r="F178" i="28"/>
  <c r="C39" i="28" s="1"/>
  <c r="G178" i="28"/>
  <c r="E39" i="28" s="1"/>
  <c r="H178" i="28"/>
  <c r="F39" i="28" s="1"/>
  <c r="I178" i="28"/>
  <c r="C69" i="28" s="1"/>
  <c r="J178" i="28"/>
  <c r="E69" i="28" s="1"/>
  <c r="K178" i="28"/>
  <c r="F69" i="28" s="1"/>
  <c r="L178" i="28"/>
  <c r="C99" i="28" s="1"/>
  <c r="M178" i="28"/>
  <c r="E99" i="28" s="1"/>
  <c r="N178" i="28"/>
  <c r="F99" i="28" s="1"/>
  <c r="F180" i="28"/>
  <c r="C41" i="28" s="1"/>
  <c r="G180" i="28"/>
  <c r="E41" i="28" s="1"/>
  <c r="H180" i="28"/>
  <c r="F41" i="28" s="1"/>
  <c r="I180" i="28"/>
  <c r="C71" i="28" s="1"/>
  <c r="J180" i="28"/>
  <c r="E71" i="28" s="1"/>
  <c r="K180" i="28"/>
  <c r="F71" i="28" s="1"/>
  <c r="L180" i="28"/>
  <c r="C101" i="28" s="1"/>
  <c r="M180" i="28"/>
  <c r="E101" i="28" s="1"/>
  <c r="N180" i="28"/>
  <c r="F101" i="28" s="1"/>
  <c r="F181" i="28"/>
  <c r="C42" i="28" s="1"/>
  <c r="G181" i="28"/>
  <c r="E42" i="28" s="1"/>
  <c r="H181" i="28"/>
  <c r="F42" i="28" s="1"/>
  <c r="I181" i="28"/>
  <c r="C72" i="28" s="1"/>
  <c r="J181" i="28"/>
  <c r="E72" i="28" s="1"/>
  <c r="K181" i="28"/>
  <c r="F72" i="28" s="1"/>
  <c r="L181" i="28"/>
  <c r="C102" i="28" s="1"/>
  <c r="M181" i="28"/>
  <c r="E102" i="28" s="1"/>
  <c r="N181" i="28"/>
  <c r="F102" i="28" s="1"/>
  <c r="F182" i="28"/>
  <c r="C43" i="28" s="1"/>
  <c r="I182" i="28"/>
  <c r="C73" i="28" s="1"/>
  <c r="L182" i="28"/>
  <c r="C103" i="28" s="1"/>
  <c r="F183" i="28"/>
  <c r="C44" i="28" s="1"/>
  <c r="I183" i="28"/>
  <c r="C74" i="28" s="1"/>
  <c r="L183" i="28"/>
  <c r="C104" i="28" s="1"/>
  <c r="F184" i="28"/>
  <c r="C45" i="28" s="1"/>
  <c r="I184" i="28"/>
  <c r="C75" i="28" s="1"/>
  <c r="L184" i="28"/>
  <c r="C105" i="28" s="1"/>
  <c r="F185" i="28"/>
  <c r="C46" i="28" s="1"/>
  <c r="I185" i="28"/>
  <c r="C76" i="28" s="1"/>
  <c r="L185" i="28"/>
  <c r="C106" i="28" s="1"/>
  <c r="F187" i="28"/>
  <c r="C48" i="28" s="1"/>
  <c r="I187" i="28"/>
  <c r="C78" i="28" s="1"/>
  <c r="L187" i="28"/>
  <c r="C108" i="28" s="1"/>
  <c r="F188" i="28"/>
  <c r="C49" i="28" s="1"/>
  <c r="I188" i="28"/>
  <c r="C79" i="28" s="1"/>
  <c r="L188" i="28"/>
  <c r="C109" i="28" s="1"/>
  <c r="F189" i="28"/>
  <c r="C50" i="28" s="1"/>
  <c r="I189" i="28"/>
  <c r="C80" i="28" s="1"/>
  <c r="L189" i="28"/>
  <c r="C110" i="28" s="1"/>
  <c r="F190" i="28"/>
  <c r="C51" i="28" s="1"/>
  <c r="I190" i="28"/>
  <c r="C81" i="28" s="1"/>
  <c r="L190" i="28"/>
  <c r="C111" i="28" s="1"/>
  <c r="F191" i="28"/>
  <c r="C52" i="28" s="1"/>
  <c r="I191" i="28"/>
  <c r="C82" i="28" s="1"/>
  <c r="L191" i="28"/>
  <c r="C112" i="28" s="1"/>
  <c r="F192" i="28"/>
  <c r="C53" i="28" s="1"/>
  <c r="I192" i="28"/>
  <c r="C83" i="28" s="1"/>
  <c r="L192" i="28"/>
  <c r="C113" i="28" s="1"/>
  <c r="F193" i="28"/>
  <c r="C54" i="28" s="1"/>
  <c r="I193" i="28"/>
  <c r="C84" i="28" s="1"/>
  <c r="L193" i="28"/>
  <c r="C114" i="28" s="1"/>
  <c r="F194" i="28"/>
  <c r="C55" i="28" s="1"/>
  <c r="I194" i="28"/>
  <c r="C85" i="28" s="1"/>
  <c r="L194" i="28"/>
  <c r="C115" i="28" s="1"/>
  <c r="F195" i="28"/>
  <c r="C56" i="28" s="1"/>
  <c r="I195" i="28"/>
  <c r="C86" i="28" s="1"/>
  <c r="L195" i="28"/>
  <c r="C116" i="28" s="1"/>
  <c r="F196" i="28"/>
  <c r="C57" i="28" s="1"/>
  <c r="I196" i="28"/>
  <c r="C87" i="28" s="1"/>
  <c r="L196" i="28"/>
  <c r="C117" i="28" s="1"/>
  <c r="C198" i="28"/>
  <c r="G198" i="28"/>
  <c r="H198" i="28"/>
  <c r="C199" i="28"/>
  <c r="G199" i="28"/>
  <c r="H199" i="28"/>
  <c r="C200" i="28"/>
  <c r="G200" i="28"/>
  <c r="H200" i="28"/>
  <c r="C201" i="28"/>
  <c r="G201" i="28"/>
  <c r="H201" i="28"/>
  <c r="C202" i="28"/>
  <c r="G202" i="28"/>
  <c r="H202" i="28"/>
  <c r="C203" i="28"/>
  <c r="G203" i="28"/>
  <c r="H203" i="28"/>
  <c r="C204" i="28"/>
  <c r="G204" i="28"/>
  <c r="H204" i="28"/>
  <c r="C205" i="28"/>
  <c r="G205" i="28"/>
  <c r="H205" i="28"/>
  <c r="F163" i="28" l="1"/>
  <c r="H163" i="28" s="1"/>
  <c r="F160" i="28"/>
  <c r="G160" i="28" s="1"/>
  <c r="L159" i="28"/>
  <c r="M159" i="28" s="1"/>
  <c r="I159" i="28"/>
  <c r="J159" i="28" s="1"/>
  <c r="I160" i="28"/>
  <c r="J160" i="28" s="1"/>
  <c r="F164" i="28"/>
  <c r="G164" i="28" s="1"/>
  <c r="E164" i="28"/>
  <c r="G11" i="28" s="1"/>
  <c r="G25" i="28" s="1"/>
  <c r="E160" i="28"/>
  <c r="G7" i="28" s="1"/>
  <c r="G21" i="28" s="1"/>
  <c r="D164" i="28"/>
  <c r="F159" i="28"/>
  <c r="H159" i="28" s="1"/>
  <c r="E159" i="28"/>
  <c r="G6" i="28" s="1"/>
  <c r="G13" i="28" s="1"/>
  <c r="F165" i="28"/>
  <c r="H165" i="28" s="1"/>
  <c r="E163" i="28"/>
  <c r="G10" i="28" s="1"/>
  <c r="G24" i="28" s="1"/>
  <c r="I162" i="28"/>
  <c r="K162" i="28" s="1"/>
  <c r="D160" i="28"/>
  <c r="F162" i="28"/>
  <c r="G162" i="28" s="1"/>
  <c r="L164" i="28"/>
  <c r="M164" i="28" s="1"/>
  <c r="I161" i="28"/>
  <c r="K161" i="28" s="1"/>
  <c r="M161" i="28"/>
  <c r="N161" i="28"/>
  <c r="M160" i="28"/>
  <c r="N160" i="28"/>
  <c r="J163" i="28"/>
  <c r="K163" i="28"/>
  <c r="J164" i="28"/>
  <c r="K164" i="28"/>
  <c r="J165" i="28"/>
  <c r="K165" i="28"/>
  <c r="M162" i="28"/>
  <c r="N162" i="28"/>
  <c r="E165" i="28"/>
  <c r="G12" i="28" s="1"/>
  <c r="G19" i="28" s="1"/>
  <c r="D165" i="28"/>
  <c r="D163" i="28"/>
  <c r="E162" i="28"/>
  <c r="G9" i="28" s="1"/>
  <c r="G23" i="28" s="1"/>
  <c r="F161" i="28"/>
  <c r="D162" i="28"/>
  <c r="E161" i="28"/>
  <c r="G8" i="28" s="1"/>
  <c r="G22" i="28" s="1"/>
  <c r="L165" i="28"/>
  <c r="D161" i="28"/>
  <c r="L163" i="28"/>
  <c r="G89" i="28"/>
  <c r="F89" i="28"/>
  <c r="E89" i="28"/>
  <c r="D89" i="28"/>
  <c r="C89" i="28"/>
  <c r="G59" i="28"/>
  <c r="F59" i="28"/>
  <c r="E59" i="28"/>
  <c r="D59" i="28"/>
  <c r="C59" i="28"/>
  <c r="D29" i="28"/>
  <c r="D28" i="28"/>
  <c r="F29" i="28"/>
  <c r="E29" i="28"/>
  <c r="F28" i="28"/>
  <c r="E28" i="28"/>
  <c r="C29" i="28"/>
  <c r="C28" i="28"/>
  <c r="G163" i="28" l="1"/>
  <c r="N159" i="28"/>
  <c r="H160" i="28"/>
  <c r="K160" i="28"/>
  <c r="H164" i="28"/>
  <c r="K159" i="28"/>
  <c r="G159" i="28"/>
  <c r="N164" i="28"/>
  <c r="G165" i="28"/>
  <c r="J162" i="28"/>
  <c r="G26" i="28"/>
  <c r="J161" i="28"/>
  <c r="H162" i="28"/>
  <c r="G14" i="28"/>
  <c r="G15" i="28"/>
  <c r="G16" i="28"/>
  <c r="G17" i="28"/>
  <c r="G18" i="28"/>
  <c r="G161" i="28"/>
  <c r="H161" i="28"/>
  <c r="G20" i="28"/>
  <c r="M163" i="28"/>
  <c r="N163" i="28"/>
  <c r="M165" i="28"/>
  <c r="N165" i="28"/>
  <c r="F345" i="7"/>
  <c r="F344" i="7"/>
  <c r="L937" i="7" l="1"/>
  <c r="L936" i="7"/>
  <c r="L935" i="7"/>
  <c r="L934" i="7"/>
  <c r="K937" i="7"/>
  <c r="K936" i="7"/>
  <c r="K934" i="7"/>
  <c r="K935" i="7"/>
  <c r="E942" i="7"/>
  <c r="E940" i="7"/>
  <c r="E941" i="7"/>
  <c r="E943" i="7"/>
  <c r="E920" i="7"/>
  <c r="F920" i="7"/>
  <c r="F934" i="7" s="1"/>
  <c r="E921" i="7"/>
  <c r="F921" i="7"/>
  <c r="F935" i="7" s="1"/>
  <c r="E922" i="7"/>
  <c r="F922" i="7"/>
  <c r="F936" i="7" s="1"/>
  <c r="E923" i="7"/>
  <c r="F923" i="7"/>
  <c r="F937" i="7" s="1"/>
  <c r="E927" i="7"/>
  <c r="F927" i="7"/>
  <c r="E928" i="7"/>
  <c r="F928" i="7"/>
  <c r="E929" i="7"/>
  <c r="F929" i="7"/>
  <c r="E930" i="7"/>
  <c r="F930" i="7"/>
  <c r="G9" i="7"/>
  <c r="E937" i="7" l="1"/>
  <c r="G937" i="7" s="1"/>
  <c r="G922" i="7"/>
  <c r="G929" i="7"/>
  <c r="G927" i="7"/>
  <c r="G928" i="7"/>
  <c r="G921" i="7"/>
  <c r="G923" i="7"/>
  <c r="G930" i="7"/>
  <c r="G920" i="7"/>
  <c r="L920" i="7" s="1"/>
  <c r="E934" i="7"/>
  <c r="G934" i="7" s="1"/>
  <c r="E935" i="7"/>
  <c r="G935" i="7" s="1"/>
  <c r="E936" i="7"/>
  <c r="G936" i="7" s="1"/>
  <c r="D19" i="28"/>
  <c r="D23" i="28"/>
  <c r="D8" i="28"/>
  <c r="D14" i="28"/>
  <c r="D6" i="28"/>
  <c r="C27" i="28"/>
  <c r="G29" i="28"/>
  <c r="G28" i="28"/>
  <c r="G88" i="28"/>
  <c r="F88" i="28"/>
  <c r="E88" i="28"/>
  <c r="D88" i="28"/>
  <c r="G58" i="28"/>
  <c r="F58" i="28"/>
  <c r="E58" i="28"/>
  <c r="D58" i="28"/>
  <c r="C26" i="28"/>
  <c r="C24" i="28"/>
  <c r="C23" i="28"/>
  <c r="C22" i="28"/>
  <c r="C21" i="28"/>
  <c r="C18" i="28"/>
  <c r="C17" i="28"/>
  <c r="C15" i="28"/>
  <c r="C14" i="28"/>
  <c r="C12" i="28"/>
  <c r="C11" i="28"/>
  <c r="C10" i="28"/>
  <c r="C7" i="28"/>
  <c r="C6" i="28"/>
  <c r="C58" i="28"/>
  <c r="E17" i="28" l="1"/>
  <c r="F17" i="28"/>
  <c r="E15" i="28"/>
  <c r="F15" i="28"/>
  <c r="F6" i="28"/>
  <c r="E6" i="28"/>
  <c r="F7" i="28"/>
  <c r="E7" i="28"/>
  <c r="E11" i="28"/>
  <c r="F11" i="28"/>
  <c r="F10" i="28"/>
  <c r="E10" i="28"/>
  <c r="F12" i="28"/>
  <c r="E12" i="28"/>
  <c r="F18" i="28"/>
  <c r="E18" i="28"/>
  <c r="F14" i="28"/>
  <c r="E14" i="28"/>
  <c r="C8" i="28"/>
  <c r="D16" i="28"/>
  <c r="C20" i="28"/>
  <c r="D9" i="28"/>
  <c r="D15" i="28"/>
  <c r="D22" i="28"/>
  <c r="D7" i="28"/>
  <c r="D21" i="28"/>
  <c r="C9" i="28"/>
  <c r="C88" i="28"/>
  <c r="F24" i="28" s="1"/>
  <c r="C13" i="28"/>
  <c r="C16" i="28"/>
  <c r="C25" i="28"/>
  <c r="D20" i="28"/>
  <c r="D13" i="28"/>
  <c r="D12" i="28"/>
  <c r="D26" i="28"/>
  <c r="C19" i="28"/>
  <c r="E23" i="28" l="1"/>
  <c r="F23" i="28"/>
  <c r="E26" i="28"/>
  <c r="F26" i="28"/>
  <c r="E22" i="28"/>
  <c r="E21" i="28"/>
  <c r="F21" i="28"/>
  <c r="F22" i="28"/>
  <c r="E19" i="28"/>
  <c r="F19" i="28"/>
  <c r="E16" i="28"/>
  <c r="F16" i="28"/>
  <c r="F20" i="28"/>
  <c r="E20" i="28"/>
  <c r="F25" i="28"/>
  <c r="E25" i="28"/>
  <c r="E13" i="28"/>
  <c r="F13" i="28"/>
  <c r="F8" i="28"/>
  <c r="E8" i="28"/>
  <c r="E24" i="28"/>
  <c r="E9" i="28"/>
  <c r="F9" i="28"/>
  <c r="D715" i="7"/>
  <c r="D693" i="7" s="1"/>
  <c r="D714" i="7"/>
  <c r="D692" i="7" s="1"/>
  <c r="D713" i="7"/>
  <c r="D691" i="7" s="1"/>
  <c r="D712" i="7"/>
  <c r="D690" i="7" s="1"/>
  <c r="D711" i="7"/>
  <c r="D689" i="7" s="1"/>
  <c r="J501" i="7"/>
  <c r="J500" i="7"/>
  <c r="F500" i="7"/>
  <c r="G501" i="7"/>
  <c r="G500" i="7"/>
  <c r="H693" i="7"/>
  <c r="G693" i="7"/>
  <c r="F693" i="7"/>
  <c r="E693" i="7"/>
  <c r="H692" i="7"/>
  <c r="G692" i="7"/>
  <c r="F692" i="7"/>
  <c r="E692" i="7"/>
  <c r="H691" i="7"/>
  <c r="G691" i="7"/>
  <c r="F691" i="7"/>
  <c r="E691" i="7"/>
  <c r="H690" i="7"/>
  <c r="G690" i="7"/>
  <c r="F690" i="7"/>
  <c r="E690" i="7"/>
  <c r="H689" i="7"/>
  <c r="G689" i="7"/>
  <c r="F689" i="7"/>
  <c r="E689" i="7"/>
  <c r="J753" i="7"/>
  <c r="I753" i="7"/>
  <c r="G753" i="7"/>
  <c r="F753" i="7"/>
  <c r="H753" i="7"/>
  <c r="J740" i="7"/>
  <c r="G740" i="7"/>
  <c r="G513" i="7"/>
  <c r="I513" i="7" s="1"/>
  <c r="G512" i="7"/>
  <c r="I512" i="7" s="1"/>
  <c r="E47" i="7" l="1"/>
  <c r="J502" i="7"/>
  <c r="J55" i="7" s="1"/>
  <c r="H728" i="7"/>
  <c r="E728" i="7"/>
  <c r="E757" i="7"/>
  <c r="E744" i="7"/>
  <c r="G608" i="7"/>
  <c r="I608" i="7" s="1"/>
  <c r="G596" i="7"/>
  <c r="I596" i="7" s="1"/>
  <c r="G573" i="7"/>
  <c r="I578" i="7" s="1"/>
  <c r="G550" i="7"/>
  <c r="G540" i="7"/>
  <c r="I540" i="7" s="1"/>
  <c r="G528" i="7"/>
  <c r="G486" i="7"/>
  <c r="I486" i="7" s="1"/>
  <c r="G453" i="7"/>
  <c r="I453" i="7" s="1"/>
  <c r="G427" i="7"/>
  <c r="I432" i="7" s="1"/>
  <c r="G607" i="7"/>
  <c r="I607" i="7" s="1"/>
  <c r="G595" i="7"/>
  <c r="I595" i="7" s="1"/>
  <c r="G567" i="7"/>
  <c r="G549" i="7"/>
  <c r="I549" i="7" s="1"/>
  <c r="G539" i="7"/>
  <c r="I539" i="7" s="1"/>
  <c r="G526" i="7"/>
  <c r="G475" i="7"/>
  <c r="G449" i="7"/>
  <c r="I450" i="7" s="1"/>
  <c r="G420" i="7"/>
  <c r="I422" i="7" s="1"/>
  <c r="J596" i="7"/>
  <c r="K596" i="7" s="1"/>
  <c r="J595" i="7"/>
  <c r="K595" i="7" s="1"/>
  <c r="F550" i="7"/>
  <c r="Q730" i="7" l="1"/>
  <c r="R730" i="7"/>
  <c r="H730" i="7"/>
  <c r="I729" i="7"/>
  <c r="R729" i="7"/>
  <c r="Q729" i="7"/>
  <c r="O729" i="7"/>
  <c r="P730" i="7"/>
  <c r="I484" i="7"/>
  <c r="I483" i="7"/>
  <c r="I482" i="7"/>
  <c r="I481" i="7"/>
  <c r="I569" i="7"/>
  <c r="I572" i="7"/>
  <c r="I571" i="7"/>
  <c r="I570" i="7"/>
  <c r="I574" i="7"/>
  <c r="I577" i="7"/>
  <c r="E731" i="7"/>
  <c r="F731" i="7" s="1"/>
  <c r="M729" i="7"/>
  <c r="J729" i="7"/>
  <c r="I730" i="7"/>
  <c r="K729" i="7"/>
  <c r="M730" i="7"/>
  <c r="J730" i="7"/>
  <c r="I526" i="7"/>
  <c r="I529" i="7"/>
  <c r="E732" i="7"/>
  <c r="I478" i="7"/>
  <c r="E729" i="7"/>
  <c r="E733" i="7"/>
  <c r="F733" i="7" s="1"/>
  <c r="E730" i="7"/>
  <c r="I476" i="7"/>
  <c r="I477" i="7"/>
  <c r="I576" i="7"/>
  <c r="I480" i="7"/>
  <c r="I575" i="7"/>
  <c r="I567" i="7"/>
  <c r="I568" i="7"/>
  <c r="I573" i="7"/>
  <c r="I475" i="7"/>
  <c r="I491" i="7"/>
  <c r="I528" i="7"/>
  <c r="I454" i="7"/>
  <c r="I489" i="7"/>
  <c r="I490" i="7"/>
  <c r="I492" i="7"/>
  <c r="I487" i="7"/>
  <c r="I488" i="7"/>
  <c r="I479" i="7"/>
  <c r="I455" i="7"/>
  <c r="I456" i="7"/>
  <c r="I428" i="7"/>
  <c r="I427" i="7"/>
  <c r="I430" i="7"/>
  <c r="I433" i="7"/>
  <c r="I429" i="7"/>
  <c r="I431" i="7"/>
  <c r="I451" i="7"/>
  <c r="I449" i="7"/>
  <c r="I420" i="7"/>
  <c r="I423" i="7"/>
  <c r="I421" i="7"/>
  <c r="G348" i="7"/>
  <c r="T635" i="7"/>
  <c r="S635" i="7"/>
  <c r="O635" i="7"/>
  <c r="M635" i="7"/>
  <c r="F635" i="7" s="1"/>
  <c r="L635" i="7"/>
  <c r="K635" i="7"/>
  <c r="J635" i="7"/>
  <c r="I635" i="7"/>
  <c r="N635" i="7"/>
  <c r="F641" i="7"/>
  <c r="F640" i="7"/>
  <c r="F639" i="7"/>
  <c r="F638" i="7"/>
  <c r="F637" i="7"/>
  <c r="F636" i="7"/>
  <c r="P729" i="7" l="1"/>
  <c r="F730" i="7"/>
  <c r="L730" i="7"/>
  <c r="O730" i="7"/>
  <c r="K730" i="7"/>
  <c r="N730" i="7"/>
  <c r="F732" i="7"/>
  <c r="N729" i="7"/>
  <c r="L729" i="7"/>
  <c r="F729" i="7"/>
  <c r="E740" i="7"/>
  <c r="E753" i="7" l="1"/>
  <c r="H729" i="7" s="1"/>
  <c r="K392" i="7" l="1"/>
  <c r="M83" i="7" l="1"/>
  <c r="O83" i="7" s="1"/>
  <c r="M82" i="7"/>
  <c r="O82" i="7" s="1"/>
  <c r="M81" i="7"/>
  <c r="O81" i="7" s="1"/>
  <c r="M80" i="7"/>
  <c r="O80" i="7" s="1"/>
  <c r="M79" i="7"/>
  <c r="O79" i="7" s="1"/>
  <c r="M78" i="7"/>
  <c r="O78" i="7" s="1"/>
  <c r="M77" i="7"/>
  <c r="M76" i="7"/>
  <c r="M75" i="7"/>
  <c r="D254" i="7" l="1"/>
  <c r="D255" i="7"/>
  <c r="F242" i="7" l="1"/>
  <c r="AK15" i="7" l="1"/>
  <c r="AK16" i="7" s="1"/>
  <c r="AK17" i="7" s="1"/>
  <c r="AK18" i="7" s="1"/>
  <c r="AK19" i="7" s="1"/>
  <c r="AK20" i="7" s="1"/>
  <c r="AK21" i="7" s="1"/>
  <c r="D340" i="23" l="1"/>
  <c r="M95" i="7" l="1"/>
  <c r="O95" i="7" s="1"/>
  <c r="M94" i="7"/>
  <c r="O94" i="7" s="1"/>
  <c r="M93" i="7"/>
  <c r="O93" i="7" s="1"/>
  <c r="M92" i="7"/>
  <c r="O92" i="7" s="1"/>
  <c r="M91" i="7"/>
  <c r="O91" i="7" s="1"/>
  <c r="G110" i="7"/>
  <c r="G163" i="7"/>
  <c r="G162" i="7"/>
  <c r="G161" i="7"/>
  <c r="G160" i="7"/>
  <c r="G159" i="7"/>
  <c r="G158" i="7"/>
  <c r="G157" i="7"/>
  <c r="G156" i="7"/>
  <c r="G155" i="7"/>
  <c r="G154" i="7"/>
  <c r="G153" i="7"/>
  <c r="G152" i="7"/>
  <c r="G151" i="7"/>
  <c r="G150" i="7"/>
  <c r="G149" i="7"/>
  <c r="G148" i="7"/>
  <c r="G147" i="7"/>
  <c r="G146" i="7"/>
  <c r="G145" i="7"/>
  <c r="G144" i="7"/>
  <c r="G143" i="7"/>
  <c r="G142" i="7"/>
  <c r="G141" i="7"/>
  <c r="G140" i="7"/>
  <c r="G139" i="7"/>
  <c r="G138" i="7"/>
  <c r="G137" i="7"/>
  <c r="G136" i="7"/>
  <c r="G135" i="7"/>
  <c r="G134" i="7"/>
  <c r="G133" i="7"/>
  <c r="G132" i="7"/>
  <c r="G131" i="7"/>
  <c r="G130" i="7"/>
  <c r="G129" i="7"/>
  <c r="G128" i="7"/>
  <c r="G127" i="7"/>
  <c r="G126" i="7"/>
  <c r="G125" i="7"/>
  <c r="G124" i="7"/>
  <c r="G123" i="7"/>
  <c r="G122" i="7"/>
  <c r="G121" i="7"/>
  <c r="G120" i="7"/>
  <c r="G119" i="7"/>
  <c r="G118" i="7"/>
  <c r="G117" i="7"/>
  <c r="G116" i="7"/>
  <c r="G115" i="7"/>
  <c r="G114" i="7"/>
  <c r="G113" i="7"/>
  <c r="G112" i="7"/>
  <c r="G111" i="7"/>
  <c r="G108" i="7"/>
  <c r="G107" i="7"/>
  <c r="G106" i="7"/>
  <c r="G105" i="7"/>
  <c r="G104" i="7"/>
  <c r="G109" i="7"/>
  <c r="F391" i="7" l="1"/>
  <c r="AF18" i="7" l="1"/>
  <c r="G65" i="7"/>
  <c r="E277" i="7" s="1"/>
  <c r="F899" i="7" l="1"/>
  <c r="H246" i="7" l="1"/>
  <c r="H245" i="7"/>
  <c r="G804" i="7"/>
  <c r="F804" i="7"/>
  <c r="G803" i="7"/>
  <c r="F803" i="7"/>
  <c r="F864" i="7" l="1"/>
  <c r="G864" i="7" s="1"/>
  <c r="E864" i="7"/>
  <c r="E872" i="7"/>
  <c r="G863" i="7" s="1"/>
  <c r="E863" i="7"/>
  <c r="F872" i="7" l="1"/>
  <c r="G872" i="7"/>
  <c r="M151" i="7"/>
  <c r="O151" i="7" s="1"/>
  <c r="M150" i="7"/>
  <c r="O150" i="7" s="1"/>
  <c r="M149" i="7"/>
  <c r="O149" i="7" s="1"/>
  <c r="M148" i="7"/>
  <c r="O148" i="7" s="1"/>
  <c r="M147" i="7"/>
  <c r="O147" i="7" s="1"/>
  <c r="M146" i="7"/>
  <c r="O146" i="7" s="1"/>
  <c r="M145" i="7"/>
  <c r="O145" i="7" s="1"/>
  <c r="F150" i="7"/>
  <c r="P150" i="7" s="1"/>
  <c r="F149" i="7"/>
  <c r="P149" i="7" s="1"/>
  <c r="F148" i="7"/>
  <c r="P148" i="7" s="1"/>
  <c r="F147" i="7"/>
  <c r="P147" i="7" s="1"/>
  <c r="F146" i="7"/>
  <c r="P146" i="7" s="1"/>
  <c r="F873" i="7" l="1"/>
  <c r="F840" i="7" s="1"/>
  <c r="N148" i="7"/>
  <c r="N146" i="7"/>
  <c r="N147" i="7"/>
  <c r="N149" i="7"/>
  <c r="N150" i="7"/>
  <c r="F904" i="7"/>
  <c r="F905" i="7"/>
  <c r="F902" i="7"/>
  <c r="H902" i="7" s="1"/>
  <c r="F901" i="7"/>
  <c r="E676" i="7"/>
  <c r="G905" i="7" l="1"/>
  <c r="H905" i="7"/>
  <c r="G901" i="7"/>
  <c r="H901" i="7"/>
  <c r="H903" i="7" s="1"/>
  <c r="G903" i="7"/>
  <c r="F817" i="7"/>
  <c r="H906" i="7" l="1"/>
  <c r="G906" i="7"/>
  <c r="K255" i="7"/>
  <c r="K254" i="7"/>
  <c r="F283" i="7"/>
  <c r="F677" i="7"/>
  <c r="E881" i="7"/>
  <c r="F881" i="7"/>
  <c r="E882" i="7"/>
  <c r="E883" i="7"/>
  <c r="F883" i="7"/>
  <c r="G883" i="7" s="1"/>
  <c r="E884" i="7"/>
  <c r="F884" i="7"/>
  <c r="G884" i="7" s="1"/>
  <c r="F896" i="7"/>
  <c r="F891" i="7" s="1"/>
  <c r="F893" i="7" s="1"/>
  <c r="G266" i="7" s="1"/>
  <c r="F885" i="7" l="1"/>
  <c r="G881" i="7"/>
  <c r="G885" i="7" s="1"/>
  <c r="I892" i="7"/>
  <c r="G907" i="7"/>
  <c r="G12" i="7" s="1"/>
  <c r="G263" i="7"/>
  <c r="G267" i="7"/>
  <c r="F886" i="7" l="1"/>
  <c r="F877" i="7" s="1"/>
  <c r="F362" i="7"/>
  <c r="G362" i="7" s="1"/>
  <c r="D1" i="7"/>
  <c r="F876" i="7" l="1"/>
  <c r="F878" i="7" s="1"/>
  <c r="G261" i="7" s="1"/>
  <c r="G14" i="7" s="1"/>
  <c r="F795" i="7"/>
  <c r="F807" i="7"/>
  <c r="F808" i="7"/>
  <c r="E792" i="7"/>
  <c r="E793" i="7"/>
  <c r="E808" i="7"/>
  <c r="E809" i="7"/>
  <c r="F809" i="7"/>
  <c r="F805" i="7" s="1"/>
  <c r="G822" i="7"/>
  <c r="H822" i="7" s="1"/>
  <c r="I822" i="7" s="1"/>
  <c r="J822" i="7" s="1"/>
  <c r="C826" i="7"/>
  <c r="C827" i="7" s="1"/>
  <c r="C828" i="7" s="1"/>
  <c r="C829" i="7" s="1"/>
  <c r="C830" i="7" s="1"/>
  <c r="C831" i="7" s="1"/>
  <c r="C832" i="7" s="1"/>
  <c r="C833" i="7" s="1"/>
  <c r="D827" i="7"/>
  <c r="E827" i="7"/>
  <c r="E828" i="7" s="1"/>
  <c r="D829" i="7" s="1"/>
  <c r="G845" i="7"/>
  <c r="H845" i="7" s="1"/>
  <c r="I845" i="7" s="1"/>
  <c r="J845" i="7" s="1"/>
  <c r="C849" i="7"/>
  <c r="C850" i="7" s="1"/>
  <c r="C851" i="7" s="1"/>
  <c r="C852" i="7" s="1"/>
  <c r="C853" i="7" s="1"/>
  <c r="C854" i="7" s="1"/>
  <c r="C855" i="7" s="1"/>
  <c r="C856" i="7" s="1"/>
  <c r="C857" i="7" s="1"/>
  <c r="C858" i="7" s="1"/>
  <c r="C859" i="7" s="1"/>
  <c r="D850" i="7"/>
  <c r="E850" i="7"/>
  <c r="D851" i="7" s="1"/>
  <c r="G850" i="7"/>
  <c r="G851" i="7" s="1"/>
  <c r="G852" i="7" s="1"/>
  <c r="G853" i="7" s="1"/>
  <c r="G854" i="7" s="1"/>
  <c r="G855" i="7" s="1"/>
  <c r="G856" i="7" s="1"/>
  <c r="G857" i="7" s="1"/>
  <c r="G858" i="7" s="1"/>
  <c r="G859" i="7" s="1"/>
  <c r="H850" i="7"/>
  <c r="H851" i="7" s="1"/>
  <c r="H852" i="7" s="1"/>
  <c r="H853" i="7" s="1"/>
  <c r="H854" i="7" s="1"/>
  <c r="H855" i="7" s="1"/>
  <c r="H856" i="7" s="1"/>
  <c r="H857" i="7" s="1"/>
  <c r="H858" i="7" s="1"/>
  <c r="H859" i="7" s="1"/>
  <c r="I850" i="7"/>
  <c r="I851" i="7" s="1"/>
  <c r="I852" i="7" s="1"/>
  <c r="I853" i="7" s="1"/>
  <c r="I854" i="7" s="1"/>
  <c r="I855" i="7" s="1"/>
  <c r="I856" i="7" s="1"/>
  <c r="I857" i="7" s="1"/>
  <c r="I858" i="7" s="1"/>
  <c r="I859" i="7" s="1"/>
  <c r="J850" i="7"/>
  <c r="J851" i="7" s="1"/>
  <c r="J852" i="7" s="1"/>
  <c r="J853" i="7" s="1"/>
  <c r="J854" i="7" s="1"/>
  <c r="J855" i="7" s="1"/>
  <c r="J856" i="7" s="1"/>
  <c r="J857" i="7" s="1"/>
  <c r="J858" i="7" s="1"/>
  <c r="J859" i="7" s="1"/>
  <c r="F852" i="7"/>
  <c r="F853" i="7" s="1"/>
  <c r="F854" i="7" s="1"/>
  <c r="F855" i="7" s="1"/>
  <c r="F856" i="7" s="1"/>
  <c r="F857" i="7" s="1"/>
  <c r="F858" i="7" s="1"/>
  <c r="F859" i="7" s="1"/>
  <c r="H834" i="7" l="1"/>
  <c r="K849" i="7"/>
  <c r="F797" i="7"/>
  <c r="F796" i="7"/>
  <c r="K827" i="7"/>
  <c r="K826" i="7"/>
  <c r="F860" i="7"/>
  <c r="F834" i="7"/>
  <c r="K850" i="7"/>
  <c r="G860" i="7"/>
  <c r="J860" i="7"/>
  <c r="J834" i="7"/>
  <c r="I860" i="7"/>
  <c r="I834" i="7"/>
  <c r="H860" i="7"/>
  <c r="G834" i="7"/>
  <c r="D828" i="7"/>
  <c r="K828" i="7" s="1"/>
  <c r="E851" i="7"/>
  <c r="E829" i="7"/>
  <c r="F247" i="7" l="1"/>
  <c r="F814" i="7"/>
  <c r="F837" i="7"/>
  <c r="D852" i="7"/>
  <c r="E852" i="7"/>
  <c r="D830" i="7"/>
  <c r="E830" i="7"/>
  <c r="K829" i="7"/>
  <c r="K851" i="7"/>
  <c r="D43" i="7"/>
  <c r="K830" i="7" l="1"/>
  <c r="E831" i="7"/>
  <c r="D831" i="7"/>
  <c r="E853" i="7"/>
  <c r="D853" i="7"/>
  <c r="K852" i="7"/>
  <c r="A14" i="46"/>
  <c r="A15" i="46" s="1"/>
  <c r="A16" i="46" s="1"/>
  <c r="A17" i="46" s="1"/>
  <c r="A18" i="46" s="1"/>
  <c r="A19" i="46" s="1"/>
  <c r="A20" i="46" s="1"/>
  <c r="K831" i="7" l="1"/>
  <c r="K853" i="7"/>
  <c r="E854" i="7"/>
  <c r="D854" i="7"/>
  <c r="D832" i="7"/>
  <c r="E832" i="7"/>
  <c r="D833" i="7" s="1"/>
  <c r="K833" i="7" s="1"/>
  <c r="K854" i="7" l="1"/>
  <c r="K832" i="7"/>
  <c r="F815" i="7" s="1"/>
  <c r="F816" i="7" s="1"/>
  <c r="F818" i="7" s="1"/>
  <c r="D855" i="7"/>
  <c r="E855" i="7"/>
  <c r="D856" i="7" l="1"/>
  <c r="E856" i="7"/>
  <c r="H792" i="7"/>
  <c r="I792" i="7"/>
  <c r="K855" i="7"/>
  <c r="E857" i="7" l="1"/>
  <c r="D857" i="7"/>
  <c r="K856" i="7"/>
  <c r="M163" i="7"/>
  <c r="O163" i="7" s="1"/>
  <c r="M162" i="7"/>
  <c r="O162" i="7" s="1"/>
  <c r="M161" i="7"/>
  <c r="O161" i="7" s="1"/>
  <c r="M160" i="7"/>
  <c r="O160" i="7" s="1"/>
  <c r="M159" i="7"/>
  <c r="O159" i="7" s="1"/>
  <c r="M158" i="7"/>
  <c r="O158" i="7" s="1"/>
  <c r="M157" i="7"/>
  <c r="O157" i="7" s="1"/>
  <c r="M156" i="7"/>
  <c r="O156" i="7" s="1"/>
  <c r="M155" i="7"/>
  <c r="O155" i="7" s="1"/>
  <c r="M154" i="7"/>
  <c r="O154" i="7" s="1"/>
  <c r="M153" i="7"/>
  <c r="O153" i="7" s="1"/>
  <c r="M152" i="7"/>
  <c r="O152" i="7" s="1"/>
  <c r="M144" i="7"/>
  <c r="O144" i="7" s="1"/>
  <c r="M143" i="7"/>
  <c r="O143" i="7" s="1"/>
  <c r="M142" i="7"/>
  <c r="O142" i="7" s="1"/>
  <c r="M141" i="7"/>
  <c r="O141" i="7" s="1"/>
  <c r="M140" i="7"/>
  <c r="O140" i="7" s="1"/>
  <c r="M139" i="7"/>
  <c r="O139" i="7" s="1"/>
  <c r="M138" i="7"/>
  <c r="O138" i="7" s="1"/>
  <c r="M137" i="7"/>
  <c r="O137" i="7" s="1"/>
  <c r="M136" i="7"/>
  <c r="O136" i="7" s="1"/>
  <c r="M135" i="7"/>
  <c r="O135" i="7" s="1"/>
  <c r="M134" i="7"/>
  <c r="O134" i="7" s="1"/>
  <c r="M133" i="7"/>
  <c r="O133" i="7" s="1"/>
  <c r="M132" i="7"/>
  <c r="O132" i="7" s="1"/>
  <c r="M131" i="7"/>
  <c r="O131" i="7" s="1"/>
  <c r="M130" i="7"/>
  <c r="O130" i="7" s="1"/>
  <c r="M129" i="7"/>
  <c r="O129" i="7" s="1"/>
  <c r="M128" i="7"/>
  <c r="O128" i="7" s="1"/>
  <c r="M127" i="7"/>
  <c r="O127" i="7" s="1"/>
  <c r="M126" i="7"/>
  <c r="O126" i="7" s="1"/>
  <c r="M125" i="7"/>
  <c r="O125" i="7" s="1"/>
  <c r="M124" i="7"/>
  <c r="O124" i="7" s="1"/>
  <c r="M123" i="7"/>
  <c r="O123" i="7" s="1"/>
  <c r="M122" i="7"/>
  <c r="O122" i="7" s="1"/>
  <c r="M121" i="7"/>
  <c r="O121" i="7" s="1"/>
  <c r="M120" i="7"/>
  <c r="O120" i="7" s="1"/>
  <c r="M119" i="7"/>
  <c r="O119" i="7" s="1"/>
  <c r="M118" i="7"/>
  <c r="O118" i="7" s="1"/>
  <c r="M117" i="7"/>
  <c r="O117" i="7" s="1"/>
  <c r="M116" i="7"/>
  <c r="O116" i="7" s="1"/>
  <c r="M115" i="7"/>
  <c r="O115" i="7" s="1"/>
  <c r="M114" i="7"/>
  <c r="O114" i="7" s="1"/>
  <c r="M113" i="7"/>
  <c r="O113" i="7" s="1"/>
  <c r="M112" i="7"/>
  <c r="O112" i="7" s="1"/>
  <c r="M111" i="7"/>
  <c r="O111" i="7" s="1"/>
  <c r="M110" i="7"/>
  <c r="O110" i="7" s="1"/>
  <c r="M109" i="7"/>
  <c r="M108" i="7"/>
  <c r="M107" i="7"/>
  <c r="M106" i="7"/>
  <c r="M105" i="7"/>
  <c r="M104" i="7"/>
  <c r="M103" i="7"/>
  <c r="M74" i="7"/>
  <c r="M73" i="7"/>
  <c r="M184" i="7" l="1"/>
  <c r="M183" i="7"/>
  <c r="O103" i="7"/>
  <c r="K857" i="7"/>
  <c r="E858" i="7"/>
  <c r="D859" i="7" s="1"/>
  <c r="K859" i="7" s="1"/>
  <c r="D858" i="7"/>
  <c r="T67" i="7"/>
  <c r="K858" i="7" l="1"/>
  <c r="F838" i="7" s="1"/>
  <c r="F839" i="7" s="1"/>
  <c r="F841" i="7" s="1"/>
  <c r="I793" i="7" l="1"/>
  <c r="F798" i="7" s="1"/>
  <c r="F248" i="7" s="1"/>
  <c r="G13" i="7" s="1"/>
  <c r="H793" i="7"/>
  <c r="B80" i="27" l="1"/>
  <c r="F779" i="7" l="1"/>
  <c r="C41" i="45"/>
  <c r="B41" i="45"/>
  <c r="C40" i="45"/>
  <c r="B40" i="45"/>
  <c r="C39" i="45"/>
  <c r="B39" i="45"/>
  <c r="B38" i="45"/>
  <c r="B37" i="45"/>
  <c r="B36" i="45"/>
  <c r="C34" i="45"/>
  <c r="C33" i="45"/>
  <c r="B33" i="45"/>
  <c r="C32" i="45"/>
  <c r="B32" i="45"/>
  <c r="C31" i="45"/>
  <c r="B31" i="45"/>
  <c r="C30" i="45"/>
  <c r="B30" i="45"/>
  <c r="C29" i="45"/>
  <c r="B29" i="45"/>
  <c r="G780" i="7" l="1"/>
  <c r="F734" i="7"/>
  <c r="G734" i="7" s="1"/>
  <c r="H734" i="7" s="1"/>
  <c r="I734" i="7" s="1"/>
  <c r="J734" i="7" s="1"/>
  <c r="K734" i="7" s="1"/>
  <c r="L734" i="7" s="1"/>
  <c r="M734" i="7" s="1"/>
  <c r="N734" i="7" l="1"/>
  <c r="R734" i="7" s="1"/>
  <c r="P734" i="7"/>
  <c r="F724" i="7"/>
  <c r="F723" i="7"/>
  <c r="L762" i="7" l="1"/>
  <c r="L761" i="7"/>
  <c r="L758" i="7"/>
  <c r="L760" i="7"/>
  <c r="L759" i="7"/>
  <c r="N746" i="7"/>
  <c r="N749" i="7"/>
  <c r="N748" i="7"/>
  <c r="N747" i="7"/>
  <c r="C47" i="7"/>
  <c r="I671" i="7" s="1"/>
  <c r="C2" i="7"/>
  <c r="L763" i="7" l="1"/>
  <c r="F725" i="7"/>
  <c r="B1" i="42"/>
  <c r="D240" i="29"/>
  <c r="D239" i="29"/>
  <c r="D238" i="29"/>
  <c r="D237" i="29"/>
  <c r="D236" i="29"/>
  <c r="D235" i="29"/>
  <c r="D234" i="29"/>
  <c r="D233" i="29"/>
  <c r="D232" i="29"/>
  <c r="D231" i="29"/>
  <c r="D230" i="29"/>
  <c r="D229" i="29"/>
  <c r="D228" i="29"/>
  <c r="D227" i="29"/>
  <c r="D226" i="29"/>
  <c r="D225" i="29"/>
  <c r="D224" i="29"/>
  <c r="D223" i="29"/>
  <c r="D222" i="29"/>
  <c r="D221" i="29"/>
  <c r="D220" i="29"/>
  <c r="D219" i="29"/>
  <c r="D218" i="29"/>
  <c r="D217" i="29"/>
  <c r="D216" i="29"/>
  <c r="D215" i="29"/>
  <c r="D214" i="29"/>
  <c r="D213" i="29"/>
  <c r="D212" i="29"/>
  <c r="D211" i="29"/>
  <c r="D210" i="29"/>
  <c r="D209" i="29"/>
  <c r="D208" i="29"/>
  <c r="D207" i="29"/>
  <c r="D206" i="29"/>
  <c r="D205" i="29"/>
  <c r="D204" i="29"/>
  <c r="D203" i="29"/>
  <c r="D202" i="29"/>
  <c r="D201" i="29"/>
  <c r="D200" i="29"/>
  <c r="D199" i="29"/>
  <c r="D198" i="29"/>
  <c r="D197" i="29"/>
  <c r="D196" i="29"/>
  <c r="D195" i="29"/>
  <c r="D194" i="29"/>
  <c r="D193" i="29"/>
  <c r="D192" i="29"/>
  <c r="D191" i="29"/>
  <c r="D190" i="29"/>
  <c r="D189" i="29"/>
  <c r="D188" i="29"/>
  <c r="D187" i="29"/>
  <c r="D186" i="29"/>
  <c r="D185" i="29"/>
  <c r="D184" i="29"/>
  <c r="D183" i="29"/>
  <c r="D182" i="29"/>
  <c r="D181" i="29"/>
  <c r="D180" i="29"/>
  <c r="D179" i="29"/>
  <c r="D178" i="29"/>
  <c r="D177" i="29"/>
  <c r="D176" i="29"/>
  <c r="D175" i="29"/>
  <c r="D174" i="29"/>
  <c r="D173" i="29"/>
  <c r="D172" i="29"/>
  <c r="D171" i="29"/>
  <c r="D170" i="29"/>
  <c r="D169" i="29"/>
  <c r="D168" i="29"/>
  <c r="D167" i="29"/>
  <c r="D166" i="29"/>
  <c r="D165" i="29"/>
  <c r="D164" i="29"/>
  <c r="D163" i="29"/>
  <c r="D162" i="29"/>
  <c r="D161" i="29"/>
  <c r="D160" i="29"/>
  <c r="D159" i="29"/>
  <c r="D158" i="29"/>
  <c r="D157" i="29"/>
  <c r="D156" i="29"/>
  <c r="D155" i="29"/>
  <c r="D154" i="29"/>
  <c r="D153" i="29"/>
  <c r="D152" i="29"/>
  <c r="D151" i="29"/>
  <c r="D150" i="29"/>
  <c r="D149" i="29"/>
  <c r="D148" i="29"/>
  <c r="D147" i="29"/>
  <c r="D146" i="29"/>
  <c r="D145" i="29"/>
  <c r="D144" i="29"/>
  <c r="D143" i="29"/>
  <c r="D142" i="29"/>
  <c r="D141" i="29"/>
  <c r="D140" i="29"/>
  <c r="D139" i="29"/>
  <c r="D138" i="29"/>
  <c r="D137" i="29"/>
  <c r="D136" i="29"/>
  <c r="D135" i="29"/>
  <c r="D134" i="29"/>
  <c r="D133" i="29"/>
  <c r="D132" i="29"/>
  <c r="D131" i="29"/>
  <c r="D130" i="29"/>
  <c r="D129" i="29"/>
  <c r="D128" i="29"/>
  <c r="D127" i="29"/>
  <c r="D126" i="29"/>
  <c r="D125" i="29"/>
  <c r="D124" i="29"/>
  <c r="D123" i="29"/>
  <c r="D122" i="29"/>
  <c r="D121" i="29"/>
  <c r="D120" i="29"/>
  <c r="D119" i="29"/>
  <c r="D118" i="29"/>
  <c r="D117" i="29"/>
  <c r="D116" i="29"/>
  <c r="D115" i="29"/>
  <c r="D114" i="29"/>
  <c r="D113" i="29"/>
  <c r="D112" i="29"/>
  <c r="D111" i="29"/>
  <c r="D110" i="29"/>
  <c r="D109" i="29"/>
  <c r="D108" i="29"/>
  <c r="D107" i="29"/>
  <c r="D106" i="29"/>
  <c r="D105" i="29"/>
  <c r="D104" i="29"/>
  <c r="D103" i="29"/>
  <c r="D102" i="29"/>
  <c r="D101" i="29"/>
  <c r="D100" i="29"/>
  <c r="D99" i="29"/>
  <c r="D98" i="29"/>
  <c r="D97" i="29"/>
  <c r="D96" i="29"/>
  <c r="D95" i="29"/>
  <c r="D94" i="29"/>
  <c r="D93" i="29"/>
  <c r="D92" i="29"/>
  <c r="D91" i="29"/>
  <c r="D90" i="29"/>
  <c r="D89" i="29"/>
  <c r="D88" i="29"/>
  <c r="D87" i="29"/>
  <c r="D86" i="29"/>
  <c r="D85" i="29"/>
  <c r="D84" i="29"/>
  <c r="D83" i="29"/>
  <c r="D82" i="29"/>
  <c r="D81" i="29"/>
  <c r="D80" i="29"/>
  <c r="D79" i="29"/>
  <c r="D78" i="29"/>
  <c r="D77" i="29"/>
  <c r="D76" i="29"/>
  <c r="D75" i="29"/>
  <c r="D74" i="29"/>
  <c r="D73" i="29"/>
  <c r="D72" i="29"/>
  <c r="D71" i="29"/>
  <c r="D70" i="29"/>
  <c r="D69" i="29"/>
  <c r="D68" i="29"/>
  <c r="D67" i="29"/>
  <c r="D66" i="29"/>
  <c r="D65" i="29"/>
  <c r="D64" i="29"/>
  <c r="D63" i="29"/>
  <c r="D62" i="29"/>
  <c r="D61" i="29"/>
  <c r="D60" i="29"/>
  <c r="D59" i="29"/>
  <c r="D58" i="29"/>
  <c r="D57" i="29"/>
  <c r="D56" i="29"/>
  <c r="D55" i="29"/>
  <c r="D54" i="29"/>
  <c r="D53" i="29"/>
  <c r="D52" i="29"/>
  <c r="D51" i="29"/>
  <c r="D50" i="29"/>
  <c r="D49" i="29"/>
  <c r="D48" i="29"/>
  <c r="D47" i="29"/>
  <c r="D46" i="29"/>
  <c r="D45" i="29"/>
  <c r="D44" i="29"/>
  <c r="D43" i="29"/>
  <c r="D42" i="29"/>
  <c r="D41" i="29"/>
  <c r="D40" i="29"/>
  <c r="D39" i="29"/>
  <c r="D38" i="29"/>
  <c r="D37" i="29"/>
  <c r="D36" i="29"/>
  <c r="D35" i="29"/>
  <c r="D34" i="29"/>
  <c r="D33" i="29"/>
  <c r="D32" i="29"/>
  <c r="D31" i="29"/>
  <c r="D30" i="29"/>
  <c r="D29" i="29"/>
  <c r="D28" i="29"/>
  <c r="D27" i="29"/>
  <c r="D26" i="29"/>
  <c r="D25" i="29"/>
  <c r="D24" i="29"/>
  <c r="D23" i="29"/>
  <c r="D22" i="29"/>
  <c r="D21" i="29"/>
  <c r="D20" i="29"/>
  <c r="D19" i="29"/>
  <c r="D18" i="29"/>
  <c r="D17" i="29"/>
  <c r="D16" i="29"/>
  <c r="D15" i="29"/>
  <c r="D14" i="29"/>
  <c r="D13" i="29"/>
  <c r="D12" i="29"/>
  <c r="D11" i="29"/>
  <c r="D10" i="29"/>
  <c r="D9" i="29"/>
  <c r="D8" i="29"/>
  <c r="D7" i="29"/>
  <c r="H127" i="28"/>
  <c r="H126" i="28"/>
  <c r="H125" i="28"/>
  <c r="H124" i="28"/>
  <c r="H123" i="28"/>
  <c r="H122" i="28"/>
  <c r="H121" i="28"/>
  <c r="H120" i="28"/>
  <c r="C119" i="28"/>
  <c r="A5" i="28"/>
  <c r="A6" i="28" s="1"/>
  <c r="A7" i="28" s="1"/>
  <c r="A8" i="28" s="1"/>
  <c r="A9" i="28" s="1"/>
  <c r="A10" i="28" s="1"/>
  <c r="A11" i="28" s="1"/>
  <c r="A12" i="28" s="1"/>
  <c r="A13" i="28" s="1"/>
  <c r="F91" i="27"/>
  <c r="F90" i="27"/>
  <c r="F89" i="27"/>
  <c r="F88" i="27"/>
  <c r="F87" i="27"/>
  <c r="F86" i="27"/>
  <c r="F85" i="27"/>
  <c r="F84" i="27"/>
  <c r="F83" i="27"/>
  <c r="F82" i="27"/>
  <c r="D80" i="27"/>
  <c r="F81" i="27"/>
  <c r="B79" i="27"/>
  <c r="A6" i="27"/>
  <c r="A7" i="27" s="1"/>
  <c r="A8" i="27" s="1"/>
  <c r="A9" i="27" s="1"/>
  <c r="A10" i="27" s="1"/>
  <c r="A11" i="27" s="1"/>
  <c r="A12" i="27" s="1"/>
  <c r="A13" i="27" s="1"/>
  <c r="F117" i="26"/>
  <c r="F116" i="26"/>
  <c r="F115" i="26"/>
  <c r="F114" i="26"/>
  <c r="F113" i="26"/>
  <c r="F112" i="26"/>
  <c r="F111" i="26"/>
  <c r="F110" i="26"/>
  <c r="F109" i="26"/>
  <c r="F108" i="26"/>
  <c r="F107" i="26"/>
  <c r="F106" i="26"/>
  <c r="F105" i="26"/>
  <c r="F104" i="26"/>
  <c r="F103" i="26"/>
  <c r="F102" i="26"/>
  <c r="F101" i="26"/>
  <c r="F100" i="26"/>
  <c r="F99" i="26"/>
  <c r="F98" i="26"/>
  <c r="F97" i="26"/>
  <c r="F96" i="26"/>
  <c r="F95" i="26"/>
  <c r="F94" i="26"/>
  <c r="F93" i="26"/>
  <c r="F92" i="26"/>
  <c r="F91" i="26"/>
  <c r="F90" i="26"/>
  <c r="F89" i="26"/>
  <c r="F88" i="26"/>
  <c r="F87" i="26"/>
  <c r="F86" i="26"/>
  <c r="F85" i="26"/>
  <c r="F84" i="26"/>
  <c r="F83" i="26"/>
  <c r="F82" i="26"/>
  <c r="F81" i="26"/>
  <c r="F80" i="26"/>
  <c r="F79" i="26"/>
  <c r="F78" i="26"/>
  <c r="B77" i="26"/>
  <c r="A6" i="26"/>
  <c r="A7" i="26" s="1"/>
  <c r="A8" i="26" s="1"/>
  <c r="A9" i="26" s="1"/>
  <c r="A10" i="26" s="1"/>
  <c r="A11" i="26" s="1"/>
  <c r="A12" i="26" s="1"/>
  <c r="F989" i="25"/>
  <c r="F988" i="25"/>
  <c r="F987" i="25"/>
  <c r="F986" i="25"/>
  <c r="F985" i="25"/>
  <c r="F984" i="25"/>
  <c r="F983" i="25"/>
  <c r="F982" i="25"/>
  <c r="F981" i="25"/>
  <c r="F980" i="25"/>
  <c r="F979" i="25"/>
  <c r="F978" i="25"/>
  <c r="F977" i="25"/>
  <c r="F976" i="25"/>
  <c r="F975" i="25"/>
  <c r="F974" i="25"/>
  <c r="F973" i="25"/>
  <c r="F972" i="25"/>
  <c r="F971" i="25"/>
  <c r="F970" i="25"/>
  <c r="F969" i="25"/>
  <c r="F968" i="25"/>
  <c r="F967" i="25"/>
  <c r="F966" i="25"/>
  <c r="F965" i="25"/>
  <c r="F964" i="25"/>
  <c r="F963" i="25"/>
  <c r="F962" i="25"/>
  <c r="F961" i="25"/>
  <c r="F960" i="25"/>
  <c r="F959" i="25"/>
  <c r="F958" i="25"/>
  <c r="F957" i="25"/>
  <c r="F956" i="25"/>
  <c r="F955" i="25"/>
  <c r="F954" i="25"/>
  <c r="F953" i="25"/>
  <c r="F952" i="25"/>
  <c r="F951" i="25"/>
  <c r="F950" i="25"/>
  <c r="F949" i="25"/>
  <c r="F948" i="25"/>
  <c r="F947" i="25"/>
  <c r="F946" i="25"/>
  <c r="F945" i="25"/>
  <c r="F944" i="25"/>
  <c r="F943" i="25"/>
  <c r="F942" i="25"/>
  <c r="F941" i="25"/>
  <c r="F940" i="25"/>
  <c r="F939" i="25"/>
  <c r="F938" i="25"/>
  <c r="F937" i="25"/>
  <c r="F936" i="25"/>
  <c r="F935" i="25"/>
  <c r="B934" i="25"/>
  <c r="A6" i="25"/>
  <c r="A7" i="25" s="1"/>
  <c r="A8" i="25" s="1"/>
  <c r="A9" i="25" s="1"/>
  <c r="A10" i="25" s="1"/>
  <c r="A11" i="25" s="1"/>
  <c r="A12" i="25" s="1"/>
  <c r="A13" i="25" s="1"/>
  <c r="A14" i="25" s="1"/>
  <c r="A15" i="25" s="1"/>
  <c r="A16" i="25" s="1"/>
  <c r="A17" i="25" s="1"/>
  <c r="F379" i="23"/>
  <c r="F378" i="23"/>
  <c r="F377" i="23"/>
  <c r="F376" i="23"/>
  <c r="F375" i="23"/>
  <c r="F374" i="23"/>
  <c r="F373" i="23"/>
  <c r="F372" i="23"/>
  <c r="F371" i="23"/>
  <c r="F370" i="23"/>
  <c r="F369" i="23"/>
  <c r="F368" i="23"/>
  <c r="F367" i="23"/>
  <c r="F366" i="23"/>
  <c r="F365" i="23"/>
  <c r="F364" i="23"/>
  <c r="F363" i="23"/>
  <c r="F362" i="23"/>
  <c r="F361" i="23"/>
  <c r="F360" i="23"/>
  <c r="F359" i="23"/>
  <c r="F358" i="23"/>
  <c r="F357" i="23"/>
  <c r="F356" i="23"/>
  <c r="F355" i="23"/>
  <c r="F354" i="23"/>
  <c r="F353" i="23"/>
  <c r="F352" i="23"/>
  <c r="F351" i="23"/>
  <c r="F350" i="23"/>
  <c r="F349" i="23"/>
  <c r="F348" i="23"/>
  <c r="F347" i="23"/>
  <c r="F346" i="23"/>
  <c r="F345" i="23"/>
  <c r="F344" i="23"/>
  <c r="F343" i="23"/>
  <c r="F342" i="23"/>
  <c r="F341" i="23"/>
  <c r="F340" i="23"/>
  <c r="A6" i="23"/>
  <c r="A7" i="23" s="1"/>
  <c r="A8" i="23" s="1"/>
  <c r="A9" i="23" s="1"/>
  <c r="A10" i="23" s="1"/>
  <c r="A11" i="23" s="1"/>
  <c r="A12" i="23" s="1"/>
  <c r="A13" i="23" s="1"/>
  <c r="A14" i="23" s="1"/>
  <c r="A15" i="23" s="1"/>
  <c r="A16" i="23" s="1"/>
  <c r="A17" i="23" s="1"/>
  <c r="A18" i="23" s="1"/>
  <c r="A19" i="23" s="1"/>
  <c r="A20" i="23" s="1"/>
  <c r="F118" i="22"/>
  <c r="F117" i="22"/>
  <c r="F116" i="22"/>
  <c r="F115" i="22"/>
  <c r="F114" i="22"/>
  <c r="F113" i="22"/>
  <c r="F112" i="22"/>
  <c r="F111" i="22"/>
  <c r="F110" i="22"/>
  <c r="F109" i="22"/>
  <c r="F108" i="22"/>
  <c r="F107" i="22"/>
  <c r="F106" i="22"/>
  <c r="F105" i="22"/>
  <c r="F104" i="22"/>
  <c r="F103" i="22"/>
  <c r="F102" i="22"/>
  <c r="F101" i="22"/>
  <c r="F100" i="22"/>
  <c r="F99" i="22"/>
  <c r="F98" i="22"/>
  <c r="F97" i="22"/>
  <c r="F96" i="22"/>
  <c r="F95" i="22"/>
  <c r="F94" i="22"/>
  <c r="F93" i="22"/>
  <c r="F92" i="22"/>
  <c r="F91" i="22"/>
  <c r="F90" i="22"/>
  <c r="F89" i="22"/>
  <c r="F88" i="22"/>
  <c r="F87" i="22"/>
  <c r="F86" i="22"/>
  <c r="F85" i="22"/>
  <c r="F84" i="22"/>
  <c r="F83" i="22"/>
  <c r="F82" i="22"/>
  <c r="F81" i="22"/>
  <c r="F80" i="22"/>
  <c r="F79" i="22"/>
  <c r="F78" i="22"/>
  <c r="F77" i="22"/>
  <c r="F76" i="22"/>
  <c r="F75" i="22"/>
  <c r="F74" i="22"/>
  <c r="F73" i="22"/>
  <c r="F72" i="22"/>
  <c r="B71" i="22"/>
  <c r="A6" i="22"/>
  <c r="A7" i="22" s="1"/>
  <c r="A8" i="22" s="1"/>
  <c r="F2020" i="21"/>
  <c r="F2019" i="21"/>
  <c r="F2018" i="21"/>
  <c r="F2017" i="21"/>
  <c r="F2016" i="21"/>
  <c r="F2015" i="21"/>
  <c r="F2014" i="21"/>
  <c r="F2013" i="21"/>
  <c r="F2012" i="21"/>
  <c r="F2011" i="21"/>
  <c r="F2010" i="21"/>
  <c r="F2009" i="21"/>
  <c r="F2008" i="21"/>
  <c r="F2007" i="21"/>
  <c r="F2006" i="21"/>
  <c r="F2005" i="21"/>
  <c r="F2004" i="21"/>
  <c r="F2003" i="21"/>
  <c r="F2002" i="21"/>
  <c r="F2001" i="21"/>
  <c r="F2000" i="21"/>
  <c r="F1999" i="21"/>
  <c r="F1998" i="21"/>
  <c r="F1997" i="21"/>
  <c r="F1996" i="21"/>
  <c r="F1995" i="21"/>
  <c r="F1994" i="21"/>
  <c r="F1993" i="21"/>
  <c r="F1992" i="21"/>
  <c r="F1991" i="21"/>
  <c r="F1990" i="21"/>
  <c r="F1989" i="21"/>
  <c r="F1988" i="21"/>
  <c r="F1987" i="21"/>
  <c r="F1986" i="21"/>
  <c r="F1985" i="21"/>
  <c r="F1984" i="21"/>
  <c r="F1983" i="21"/>
  <c r="F1982" i="21"/>
  <c r="F1981" i="21"/>
  <c r="F1980" i="21"/>
  <c r="F1979" i="21"/>
  <c r="F1978" i="21"/>
  <c r="F1977" i="21"/>
  <c r="F1976" i="21"/>
  <c r="F1975" i="21"/>
  <c r="F1974" i="21"/>
  <c r="F1973" i="21"/>
  <c r="F1972" i="21"/>
  <c r="F1971" i="21"/>
  <c r="F1970" i="21"/>
  <c r="F1969" i="21"/>
  <c r="F1968" i="21"/>
  <c r="F1967" i="21"/>
  <c r="F1966" i="21"/>
  <c r="F1965" i="21"/>
  <c r="F1964" i="21"/>
  <c r="F1963" i="21"/>
  <c r="F1962" i="21"/>
  <c r="F1961" i="21"/>
  <c r="F1960" i="21"/>
  <c r="F1959" i="21"/>
  <c r="F1958" i="21"/>
  <c r="F1957" i="21"/>
  <c r="F1956" i="21"/>
  <c r="F1955" i="21"/>
  <c r="F1954" i="21"/>
  <c r="F1953" i="21"/>
  <c r="F1952" i="21"/>
  <c r="F1951" i="21"/>
  <c r="F1950" i="21"/>
  <c r="F1949" i="21"/>
  <c r="F1948" i="21"/>
  <c r="F1947" i="21"/>
  <c r="F1946" i="21"/>
  <c r="F1945" i="21"/>
  <c r="F1944" i="21"/>
  <c r="F1943" i="21"/>
  <c r="F1942" i="21"/>
  <c r="F1941" i="21"/>
  <c r="F1940" i="21"/>
  <c r="F1939" i="21"/>
  <c r="F1938" i="21"/>
  <c r="F1937" i="21"/>
  <c r="F1936" i="21"/>
  <c r="F1935" i="21"/>
  <c r="F1934" i="21"/>
  <c r="F1933" i="21"/>
  <c r="F1932" i="21"/>
  <c r="F1931" i="21"/>
  <c r="F1930" i="21"/>
  <c r="F1929" i="21"/>
  <c r="F1928" i="21"/>
  <c r="F1927" i="21"/>
  <c r="F1926" i="21"/>
  <c r="F1925" i="21"/>
  <c r="F1924" i="21"/>
  <c r="F1923" i="21"/>
  <c r="F1922" i="21"/>
  <c r="F1921" i="21"/>
  <c r="F1920" i="21"/>
  <c r="F1919" i="21"/>
  <c r="F1918" i="21"/>
  <c r="F1917" i="21"/>
  <c r="F1916" i="21"/>
  <c r="F1915" i="21"/>
  <c r="F1914" i="21"/>
  <c r="F1913" i="21"/>
  <c r="F1912" i="21"/>
  <c r="F1911" i="21"/>
  <c r="F1910" i="21"/>
  <c r="F1909" i="21"/>
  <c r="F1908" i="21"/>
  <c r="F1907" i="21"/>
  <c r="F1906" i="21"/>
  <c r="F1905" i="21"/>
  <c r="F1904" i="21"/>
  <c r="F1903" i="21"/>
  <c r="F1902" i="21"/>
  <c r="F1901" i="21"/>
  <c r="F1900" i="21"/>
  <c r="F1899" i="21"/>
  <c r="F1898" i="21"/>
  <c r="F1897" i="21"/>
  <c r="F1896" i="21"/>
  <c r="F1895" i="21"/>
  <c r="F1894" i="21"/>
  <c r="F1893" i="21"/>
  <c r="F1892" i="21"/>
  <c r="F1891" i="21"/>
  <c r="F1890" i="21"/>
  <c r="F1889" i="21"/>
  <c r="F1888" i="21"/>
  <c r="F1887" i="21"/>
  <c r="F1886" i="21"/>
  <c r="F1885" i="21"/>
  <c r="F1884" i="21"/>
  <c r="F1883" i="21"/>
  <c r="F1882" i="21"/>
  <c r="F1881" i="21"/>
  <c r="F1880" i="21"/>
  <c r="F1879" i="21"/>
  <c r="F1878" i="21"/>
  <c r="F1877" i="21"/>
  <c r="F1876" i="21"/>
  <c r="F1875" i="21"/>
  <c r="F1874" i="21"/>
  <c r="F1873" i="21"/>
  <c r="F1872" i="21"/>
  <c r="F1871" i="21"/>
  <c r="F1870" i="21"/>
  <c r="F1869" i="21"/>
  <c r="F1868" i="21"/>
  <c r="F1867" i="21"/>
  <c r="F1866" i="21"/>
  <c r="F1865" i="21"/>
  <c r="F1864" i="21"/>
  <c r="F1863" i="21"/>
  <c r="F1862" i="21"/>
  <c r="F1861" i="21"/>
  <c r="F1860" i="21"/>
  <c r="F1859" i="21"/>
  <c r="F1858" i="21"/>
  <c r="F1857" i="21"/>
  <c r="F1856" i="21"/>
  <c r="F1855" i="21"/>
  <c r="F1854" i="21"/>
  <c r="F1853" i="21"/>
  <c r="F1852" i="21"/>
  <c r="F1851" i="21"/>
  <c r="F1850" i="21"/>
  <c r="F1849" i="21"/>
  <c r="F1848" i="21"/>
  <c r="F1847" i="21"/>
  <c r="F1846" i="21"/>
  <c r="F1845" i="21"/>
  <c r="F1844" i="21"/>
  <c r="F1843" i="21"/>
  <c r="F1842" i="21"/>
  <c r="F1841" i="21"/>
  <c r="F1840" i="21"/>
  <c r="F1839" i="21"/>
  <c r="F1838" i="21"/>
  <c r="F1837" i="21"/>
  <c r="F1836" i="21"/>
  <c r="F1835" i="21"/>
  <c r="F1834" i="21"/>
  <c r="F1833" i="21"/>
  <c r="F1832" i="21"/>
  <c r="F1831" i="21"/>
  <c r="F1830" i="21"/>
  <c r="F1829" i="21"/>
  <c r="F1828" i="21"/>
  <c r="F1827" i="21"/>
  <c r="F1826" i="21"/>
  <c r="F1825" i="21"/>
  <c r="F1824" i="21"/>
  <c r="F1823" i="21"/>
  <c r="F1822" i="21"/>
  <c r="F1821" i="21"/>
  <c r="F1820" i="21"/>
  <c r="F1819" i="21"/>
  <c r="F1818" i="21"/>
  <c r="F1817" i="21"/>
  <c r="F1816" i="21"/>
  <c r="F1815" i="21"/>
  <c r="F1814" i="21"/>
  <c r="F1813" i="21"/>
  <c r="F1812" i="21"/>
  <c r="F1811" i="21"/>
  <c r="F1810" i="21"/>
  <c r="F1809" i="21"/>
  <c r="F1808" i="21"/>
  <c r="F1807" i="21"/>
  <c r="F1806" i="21"/>
  <c r="F1805" i="21"/>
  <c r="F1804" i="21"/>
  <c r="F1803" i="21"/>
  <c r="F1802" i="21"/>
  <c r="F1801" i="21"/>
  <c r="F1800" i="21"/>
  <c r="F1799" i="21"/>
  <c r="F1798" i="21"/>
  <c r="F1797" i="21"/>
  <c r="F1796" i="21"/>
  <c r="F1795" i="21"/>
  <c r="F1794" i="21"/>
  <c r="F1793" i="21"/>
  <c r="F1792" i="21"/>
  <c r="F1791" i="21"/>
  <c r="F1790" i="21"/>
  <c r="F1789" i="21"/>
  <c r="F1788" i="21"/>
  <c r="F1787" i="21"/>
  <c r="F1786" i="21"/>
  <c r="F1785" i="21"/>
  <c r="F1784" i="21"/>
  <c r="F1783" i="21"/>
  <c r="F1782" i="21"/>
  <c r="F1781" i="21"/>
  <c r="F1780" i="21"/>
  <c r="F1779" i="21"/>
  <c r="F1778" i="21"/>
  <c r="F1777" i="21"/>
  <c r="F1776" i="21"/>
  <c r="F1775" i="21"/>
  <c r="F1774" i="21"/>
  <c r="F1773" i="21"/>
  <c r="F1772" i="21"/>
  <c r="F1771" i="21"/>
  <c r="F1770" i="21"/>
  <c r="F1769" i="21"/>
  <c r="F1768" i="21"/>
  <c r="F1767" i="21"/>
  <c r="F1766" i="21"/>
  <c r="F1765" i="21"/>
  <c r="F1764" i="21"/>
  <c r="F1763" i="21"/>
  <c r="F1762" i="21"/>
  <c r="F1761" i="21"/>
  <c r="F1760" i="21"/>
  <c r="F1759" i="21"/>
  <c r="F1758" i="21"/>
  <c r="F1757" i="21"/>
  <c r="F1756" i="21"/>
  <c r="F1755" i="21"/>
  <c r="F1754" i="21"/>
  <c r="F1753" i="21"/>
  <c r="F1752" i="21"/>
  <c r="F1751" i="21"/>
  <c r="F1750" i="21"/>
  <c r="F1749" i="21"/>
  <c r="F1748" i="21"/>
  <c r="F1747" i="21"/>
  <c r="F1746" i="21"/>
  <c r="F1745" i="21"/>
  <c r="F1744" i="21"/>
  <c r="F1743" i="21"/>
  <c r="F1742" i="21"/>
  <c r="F1741" i="21"/>
  <c r="F1740" i="21"/>
  <c r="F1739" i="21"/>
  <c r="F1738" i="21"/>
  <c r="F1737" i="21"/>
  <c r="F1736" i="21"/>
  <c r="F1735" i="21"/>
  <c r="F1734" i="21"/>
  <c r="F1733" i="21"/>
  <c r="F1732" i="21"/>
  <c r="F1731" i="21"/>
  <c r="F1730" i="21"/>
  <c r="F1729" i="21"/>
  <c r="F1728" i="21"/>
  <c r="F1727" i="21"/>
  <c r="F1726" i="21"/>
  <c r="F1725" i="21"/>
  <c r="F1724" i="21"/>
  <c r="F1723" i="21"/>
  <c r="F1722" i="21"/>
  <c r="F1721" i="21"/>
  <c r="F1720" i="21"/>
  <c r="F1719" i="21"/>
  <c r="F1718" i="21"/>
  <c r="F1717" i="21"/>
  <c r="F1716" i="21"/>
  <c r="F1715" i="21"/>
  <c r="F1714" i="21"/>
  <c r="F1713" i="21"/>
  <c r="F1712" i="21"/>
  <c r="F1711" i="21"/>
  <c r="F1710" i="21"/>
  <c r="F1709" i="21"/>
  <c r="F1708" i="21"/>
  <c r="F1707" i="21"/>
  <c r="F1706" i="21"/>
  <c r="F1705" i="21"/>
  <c r="F1704" i="21"/>
  <c r="F1703" i="21"/>
  <c r="F1702" i="21"/>
  <c r="F1701" i="21"/>
  <c r="F1700" i="21"/>
  <c r="F1699" i="21"/>
  <c r="F1698" i="21"/>
  <c r="F1697" i="21"/>
  <c r="F1696" i="21"/>
  <c r="F1695" i="21"/>
  <c r="F1694" i="21"/>
  <c r="F1693" i="21"/>
  <c r="F1692" i="21"/>
  <c r="F1691" i="21"/>
  <c r="F1690" i="21"/>
  <c r="F1689" i="21"/>
  <c r="F1688" i="21"/>
  <c r="F1687" i="21"/>
  <c r="F1686" i="21"/>
  <c r="F1685" i="21"/>
  <c r="F1684" i="21"/>
  <c r="F1683" i="21"/>
  <c r="F1682" i="21"/>
  <c r="F1681" i="21"/>
  <c r="F1680" i="21"/>
  <c r="F1679" i="21"/>
  <c r="F1678" i="21"/>
  <c r="F1677" i="21"/>
  <c r="F1676" i="21"/>
  <c r="F1675" i="21"/>
  <c r="F1674" i="21"/>
  <c r="F1673" i="21"/>
  <c r="F1672" i="21"/>
  <c r="F1671" i="21"/>
  <c r="F1670" i="21"/>
  <c r="F1669" i="21"/>
  <c r="F1668" i="21"/>
  <c r="F1667" i="21"/>
  <c r="F1666" i="21"/>
  <c r="F1665" i="21"/>
  <c r="F1664" i="21"/>
  <c r="F1663" i="21"/>
  <c r="F1662" i="21"/>
  <c r="F1661" i="21"/>
  <c r="F1660" i="21"/>
  <c r="F1659" i="21"/>
  <c r="F1658" i="21"/>
  <c r="F1657" i="21"/>
  <c r="F1656" i="21"/>
  <c r="F1655" i="21"/>
  <c r="F1654" i="21"/>
  <c r="F1653" i="21"/>
  <c r="F1652" i="21"/>
  <c r="F1651" i="21"/>
  <c r="F1650" i="21"/>
  <c r="F1649" i="21"/>
  <c r="F1648" i="21"/>
  <c r="F1647" i="21"/>
  <c r="F1646" i="21"/>
  <c r="F1645" i="21"/>
  <c r="F1644" i="21"/>
  <c r="F1643" i="21"/>
  <c r="F1642" i="21"/>
  <c r="F1641" i="21"/>
  <c r="F1640" i="21"/>
  <c r="F1639" i="21"/>
  <c r="F1638" i="21"/>
  <c r="F1637" i="21"/>
  <c r="F1636" i="21"/>
  <c r="F1635" i="21"/>
  <c r="F1634" i="21"/>
  <c r="F1633" i="21"/>
  <c r="F1632" i="21"/>
  <c r="F1631" i="21"/>
  <c r="F1630" i="21"/>
  <c r="F1629" i="21"/>
  <c r="F1628" i="21"/>
  <c r="F1627" i="21"/>
  <c r="F1626" i="21"/>
  <c r="F1625" i="21"/>
  <c r="F1624" i="21"/>
  <c r="F1623" i="21"/>
  <c r="F1622" i="21"/>
  <c r="F1621" i="21"/>
  <c r="F1620" i="21"/>
  <c r="F1619" i="21"/>
  <c r="F1618" i="21"/>
  <c r="F1617" i="21"/>
  <c r="F1616" i="21"/>
  <c r="F1615" i="21"/>
  <c r="F1614" i="21"/>
  <c r="F1613" i="21"/>
  <c r="F1612" i="21"/>
  <c r="F1611" i="21"/>
  <c r="F1610" i="21"/>
  <c r="F1609" i="21"/>
  <c r="F1608" i="21"/>
  <c r="F1607" i="21"/>
  <c r="F1606" i="21"/>
  <c r="F1605" i="21"/>
  <c r="F1604" i="21"/>
  <c r="F1603" i="21"/>
  <c r="F1602" i="21"/>
  <c r="F1601" i="21"/>
  <c r="F1600" i="21"/>
  <c r="F1599" i="21"/>
  <c r="F1598" i="21"/>
  <c r="F1597" i="21"/>
  <c r="F1596" i="21"/>
  <c r="F1595" i="21"/>
  <c r="F1594" i="21"/>
  <c r="F1593" i="21"/>
  <c r="F1592" i="21"/>
  <c r="F1591" i="21"/>
  <c r="F1590" i="21"/>
  <c r="F1589" i="21"/>
  <c r="F1588" i="21"/>
  <c r="F1587" i="21"/>
  <c r="F1586" i="21"/>
  <c r="F1585" i="21"/>
  <c r="F1584" i="21"/>
  <c r="F1583" i="21"/>
  <c r="F1582" i="21"/>
  <c r="F1581" i="21"/>
  <c r="F1580" i="21"/>
  <c r="F1579" i="21"/>
  <c r="F1578" i="21"/>
  <c r="F1577" i="21"/>
  <c r="F1576" i="21"/>
  <c r="F1575" i="21"/>
  <c r="F1574" i="21"/>
  <c r="F1573" i="21"/>
  <c r="F1572" i="21"/>
  <c r="F1571" i="21"/>
  <c r="F1570" i="21"/>
  <c r="F1569" i="21"/>
  <c r="F1568" i="21"/>
  <c r="F1567" i="21"/>
  <c r="F1566" i="21"/>
  <c r="F1565" i="21"/>
  <c r="F1564" i="21"/>
  <c r="F1563" i="21"/>
  <c r="F1562" i="21"/>
  <c r="F1561" i="21"/>
  <c r="F1560" i="21"/>
  <c r="F1559" i="21"/>
  <c r="F1558" i="21"/>
  <c r="F1557" i="21"/>
  <c r="F1556" i="21"/>
  <c r="F1555" i="21"/>
  <c r="F1554" i="21"/>
  <c r="F1553" i="21"/>
  <c r="F1552" i="21"/>
  <c r="F1551" i="21"/>
  <c r="F1550" i="21"/>
  <c r="F1549" i="21"/>
  <c r="F1548" i="21"/>
  <c r="F1547" i="21"/>
  <c r="F1546" i="21"/>
  <c r="F1545" i="21"/>
  <c r="F1544" i="21"/>
  <c r="F1543" i="21"/>
  <c r="F1542" i="21"/>
  <c r="F1541" i="21"/>
  <c r="F1540" i="21"/>
  <c r="F1539" i="21"/>
  <c r="F1538" i="21"/>
  <c r="F1537" i="21"/>
  <c r="F1536" i="21"/>
  <c r="F1535" i="21"/>
  <c r="F1534" i="21"/>
  <c r="F1533" i="21"/>
  <c r="F1532" i="21"/>
  <c r="F1531" i="21"/>
  <c r="F1530" i="21"/>
  <c r="F1529" i="21"/>
  <c r="F1528" i="21"/>
  <c r="F1527" i="21"/>
  <c r="F1526" i="21"/>
  <c r="F1525" i="21"/>
  <c r="F1524" i="21"/>
  <c r="F1523" i="21"/>
  <c r="F1522" i="21"/>
  <c r="F1521" i="21"/>
  <c r="F1520" i="21"/>
  <c r="F1519" i="21"/>
  <c r="F1518" i="21"/>
  <c r="F1517" i="21"/>
  <c r="F1516" i="21"/>
  <c r="F1515" i="21"/>
  <c r="F1514" i="21"/>
  <c r="F1513" i="21"/>
  <c r="F1512" i="21"/>
  <c r="F1511" i="21"/>
  <c r="F1510" i="21"/>
  <c r="F1509" i="21"/>
  <c r="F1508" i="21"/>
  <c r="F1507" i="21"/>
  <c r="F1506" i="21"/>
  <c r="F1505" i="21"/>
  <c r="F1504" i="21"/>
  <c r="F1503" i="21"/>
  <c r="F1502" i="21"/>
  <c r="F1501" i="21"/>
  <c r="F1500" i="21"/>
  <c r="F1499" i="21"/>
  <c r="F1498" i="21"/>
  <c r="F1497" i="21"/>
  <c r="F1496" i="21"/>
  <c r="F1495" i="21"/>
  <c r="F1494" i="21"/>
  <c r="F1493" i="21"/>
  <c r="F1492" i="21"/>
  <c r="F1491" i="21"/>
  <c r="F1490" i="21"/>
  <c r="F1489" i="21"/>
  <c r="F1488" i="21"/>
  <c r="F1487" i="21"/>
  <c r="F1486" i="21"/>
  <c r="F1485" i="21"/>
  <c r="F1484" i="21"/>
  <c r="F1483" i="21"/>
  <c r="F1482" i="21"/>
  <c r="F1481" i="21"/>
  <c r="F1480" i="21"/>
  <c r="F1479" i="21"/>
  <c r="F1478" i="21"/>
  <c r="F1477" i="21"/>
  <c r="F1476" i="21"/>
  <c r="F1475" i="21"/>
  <c r="F1474" i="21"/>
  <c r="F1473" i="21"/>
  <c r="F1472" i="21"/>
  <c r="F1471" i="21"/>
  <c r="F1470" i="21"/>
  <c r="F1469" i="21"/>
  <c r="F1468" i="21"/>
  <c r="F1467" i="21"/>
  <c r="F1466" i="21"/>
  <c r="F1465" i="21"/>
  <c r="F1464" i="21"/>
  <c r="F1463" i="21"/>
  <c r="F1462" i="21"/>
  <c r="F1461" i="21"/>
  <c r="F1460" i="21"/>
  <c r="F1459" i="21"/>
  <c r="F1458" i="21"/>
  <c r="F1457" i="21"/>
  <c r="F1456" i="21"/>
  <c r="F1455" i="21"/>
  <c r="F1454" i="21"/>
  <c r="F1453" i="21"/>
  <c r="F1452" i="21"/>
  <c r="F1451" i="21"/>
  <c r="F1450" i="21"/>
  <c r="F1449" i="21"/>
  <c r="F1448" i="21"/>
  <c r="F1447" i="21"/>
  <c r="F1446" i="21"/>
  <c r="F1445" i="21"/>
  <c r="F1444" i="21"/>
  <c r="F1443" i="21"/>
  <c r="F1442" i="21"/>
  <c r="F1441" i="21"/>
  <c r="F1440" i="21"/>
  <c r="F1439" i="21"/>
  <c r="F1438" i="21"/>
  <c r="F1437" i="21"/>
  <c r="F1436" i="21"/>
  <c r="F1435" i="21"/>
  <c r="F1434" i="21"/>
  <c r="F1433" i="21"/>
  <c r="F1432" i="21"/>
  <c r="F1431" i="21"/>
  <c r="F1430" i="21"/>
  <c r="F1429" i="21"/>
  <c r="F1428" i="21"/>
  <c r="F1427" i="21"/>
  <c r="F1426" i="21"/>
  <c r="F1425" i="21"/>
  <c r="F1424" i="21"/>
  <c r="F1423" i="21"/>
  <c r="F1422" i="21"/>
  <c r="F1421" i="21"/>
  <c r="F1420" i="21"/>
  <c r="F1419" i="21"/>
  <c r="F1418" i="21"/>
  <c r="F1417" i="21"/>
  <c r="F1416" i="21"/>
  <c r="F1415" i="21"/>
  <c r="F1414" i="21"/>
  <c r="F1413" i="21"/>
  <c r="F1412" i="21"/>
  <c r="F1411" i="21"/>
  <c r="F1410" i="21"/>
  <c r="F1409" i="21"/>
  <c r="F1408" i="21"/>
  <c r="F1407" i="21"/>
  <c r="F1406" i="21"/>
  <c r="F1405" i="21"/>
  <c r="F1404" i="21"/>
  <c r="F1403" i="21"/>
  <c r="F1402" i="21"/>
  <c r="F1401" i="21"/>
  <c r="F1400" i="21"/>
  <c r="F1399" i="21"/>
  <c r="F1398" i="21"/>
  <c r="F1397" i="21"/>
  <c r="F1396" i="21"/>
  <c r="F1395" i="21"/>
  <c r="F1394" i="21"/>
  <c r="F1393" i="21"/>
  <c r="F1392" i="21"/>
  <c r="F1391" i="21"/>
  <c r="F1390" i="21"/>
  <c r="F1389" i="21"/>
  <c r="F1388" i="21"/>
  <c r="F1387" i="21"/>
  <c r="F1386" i="21"/>
  <c r="F1385" i="21"/>
  <c r="F1384" i="21"/>
  <c r="F1383" i="21"/>
  <c r="F1382" i="21"/>
  <c r="F1381" i="21"/>
  <c r="F1380" i="21"/>
  <c r="F1379" i="21"/>
  <c r="F1378" i="21"/>
  <c r="F1377" i="21"/>
  <c r="F1376" i="21"/>
  <c r="F1375" i="21"/>
  <c r="F1374" i="21"/>
  <c r="F1373" i="21"/>
  <c r="F1372" i="21"/>
  <c r="F1371" i="21"/>
  <c r="F1370" i="21"/>
  <c r="F1369" i="21"/>
  <c r="F1368" i="21"/>
  <c r="F1367" i="21"/>
  <c r="F1366" i="21"/>
  <c r="F1365" i="21"/>
  <c r="F1364" i="21"/>
  <c r="F1363" i="21"/>
  <c r="F1362" i="21"/>
  <c r="F1361" i="21"/>
  <c r="F1360" i="21"/>
  <c r="F1359" i="21"/>
  <c r="F1358" i="21"/>
  <c r="F1357" i="21"/>
  <c r="F1356" i="21"/>
  <c r="F1355" i="21"/>
  <c r="F1354" i="21"/>
  <c r="F1353" i="21"/>
  <c r="F1352" i="21"/>
  <c r="F1351" i="21"/>
  <c r="F1350" i="21"/>
  <c r="F1349" i="21"/>
  <c r="F1348" i="21"/>
  <c r="F1347" i="21"/>
  <c r="F1346" i="21"/>
  <c r="F1345" i="21"/>
  <c r="F1344" i="21"/>
  <c r="F1343" i="21"/>
  <c r="F1342" i="21"/>
  <c r="F1341" i="21"/>
  <c r="F1340" i="21"/>
  <c r="F1339" i="21"/>
  <c r="F1338" i="21"/>
  <c r="F1337" i="21"/>
  <c r="F1336" i="21"/>
  <c r="F1335" i="21"/>
  <c r="F1334" i="21"/>
  <c r="F1333" i="21"/>
  <c r="F1332" i="21"/>
  <c r="F1331" i="21"/>
  <c r="F1330" i="21"/>
  <c r="F1329" i="21"/>
  <c r="F1328" i="21"/>
  <c r="F1327" i="21"/>
  <c r="F1326" i="21"/>
  <c r="F1325" i="21"/>
  <c r="F1324" i="21"/>
  <c r="F1323" i="21"/>
  <c r="F1322" i="21"/>
  <c r="F1321" i="21"/>
  <c r="F1320" i="21"/>
  <c r="F1319" i="21"/>
  <c r="F1318" i="21"/>
  <c r="F1317" i="21"/>
  <c r="F1316" i="21"/>
  <c r="F1315" i="21"/>
  <c r="F1314" i="21"/>
  <c r="F1313" i="21"/>
  <c r="F1312" i="21"/>
  <c r="F1311" i="21"/>
  <c r="F1310" i="21"/>
  <c r="F1309" i="21"/>
  <c r="F1308" i="21"/>
  <c r="F1307" i="21"/>
  <c r="F1306" i="21"/>
  <c r="F1305" i="21"/>
  <c r="F1304" i="21"/>
  <c r="F1303" i="21"/>
  <c r="F1302" i="21"/>
  <c r="F1301" i="21"/>
  <c r="F1300" i="21"/>
  <c r="F1299" i="21"/>
  <c r="F1298" i="21"/>
  <c r="F1297" i="21"/>
  <c r="F1296" i="21"/>
  <c r="F1295" i="21"/>
  <c r="F1294" i="21"/>
  <c r="F1293" i="21"/>
  <c r="F1292" i="21"/>
  <c r="F1291" i="21"/>
  <c r="F1290" i="21"/>
  <c r="F1289" i="21"/>
  <c r="F1288" i="21"/>
  <c r="F1287" i="21"/>
  <c r="F1286" i="21"/>
  <c r="F1285" i="21"/>
  <c r="F1284" i="21"/>
  <c r="F1283" i="21"/>
  <c r="F1282" i="21"/>
  <c r="F1281" i="21"/>
  <c r="F1280" i="21"/>
  <c r="F1279" i="21"/>
  <c r="F1278" i="21"/>
  <c r="F1277" i="21"/>
  <c r="F1276" i="21"/>
  <c r="F1275" i="21"/>
  <c r="F1274" i="21"/>
  <c r="F1273" i="21"/>
  <c r="F1272" i="21"/>
  <c r="F1271" i="21"/>
  <c r="F1270" i="21"/>
  <c r="F1269" i="21"/>
  <c r="F1268" i="21"/>
  <c r="F1267" i="21"/>
  <c r="F1266" i="21"/>
  <c r="F1265" i="21"/>
  <c r="F1264" i="21"/>
  <c r="F1263" i="21"/>
  <c r="F1262" i="21"/>
  <c r="F1261" i="21"/>
  <c r="F1260" i="21"/>
  <c r="F1259" i="21"/>
  <c r="F1258" i="21"/>
  <c r="F1257" i="21"/>
  <c r="F1256" i="21"/>
  <c r="F1255" i="21"/>
  <c r="F1254" i="21"/>
  <c r="F1253" i="21"/>
  <c r="F1252" i="21"/>
  <c r="F1251" i="21"/>
  <c r="F1250" i="21"/>
  <c r="F1249" i="21"/>
  <c r="F1248" i="21"/>
  <c r="F1247" i="21"/>
  <c r="F1246" i="21"/>
  <c r="F1245" i="21"/>
  <c r="F1244" i="21"/>
  <c r="F1243" i="21"/>
  <c r="F1242" i="21"/>
  <c r="F1241" i="21"/>
  <c r="F1240" i="21"/>
  <c r="F1239" i="21"/>
  <c r="F1238" i="21"/>
  <c r="F1237" i="21"/>
  <c r="F1236" i="21"/>
  <c r="F1235" i="21"/>
  <c r="F1234" i="21"/>
  <c r="F1233" i="21"/>
  <c r="F1232" i="21"/>
  <c r="F1231" i="21"/>
  <c r="F1230" i="21"/>
  <c r="F1229" i="21"/>
  <c r="F1228" i="21"/>
  <c r="F1227" i="21"/>
  <c r="F1226" i="21"/>
  <c r="F1225" i="21"/>
  <c r="F1224" i="21"/>
  <c r="F1223" i="21"/>
  <c r="F1222" i="21"/>
  <c r="F1221" i="21"/>
  <c r="F1220" i="21"/>
  <c r="F1219" i="21"/>
  <c r="F1218" i="21"/>
  <c r="F1217" i="21"/>
  <c r="F1216" i="21"/>
  <c r="F1215" i="21"/>
  <c r="F1214" i="21"/>
  <c r="F1213" i="21"/>
  <c r="F1212" i="21"/>
  <c r="F1211" i="21"/>
  <c r="F1210" i="21"/>
  <c r="F1209" i="21"/>
  <c r="F1208" i="21"/>
  <c r="F1207" i="21"/>
  <c r="F1206" i="21"/>
  <c r="F1205" i="21"/>
  <c r="F1204" i="21"/>
  <c r="F1203" i="21"/>
  <c r="F1202" i="21"/>
  <c r="F1201" i="21"/>
  <c r="F1200" i="21"/>
  <c r="F1199" i="21"/>
  <c r="F1198" i="21"/>
  <c r="F1197" i="21"/>
  <c r="F1196" i="21"/>
  <c r="F1195" i="21"/>
  <c r="F1194" i="21"/>
  <c r="F1193" i="21"/>
  <c r="F1192" i="21"/>
  <c r="F1191" i="21"/>
  <c r="F1190" i="21"/>
  <c r="F1189" i="21"/>
  <c r="F1188" i="21"/>
  <c r="F1187" i="21"/>
  <c r="F1186" i="21"/>
  <c r="F1185" i="21"/>
  <c r="F1184" i="21"/>
  <c r="F1183" i="21"/>
  <c r="F1182" i="21"/>
  <c r="F1181" i="21"/>
  <c r="F1180" i="21"/>
  <c r="F1179" i="21"/>
  <c r="F1178" i="21"/>
  <c r="F1177" i="21"/>
  <c r="F1176" i="21"/>
  <c r="F1175" i="21"/>
  <c r="F1174" i="21"/>
  <c r="F1173" i="21"/>
  <c r="F1172" i="21"/>
  <c r="F1171" i="21"/>
  <c r="F1170" i="21"/>
  <c r="F1169" i="21"/>
  <c r="F1168" i="21"/>
  <c r="F1167" i="21"/>
  <c r="F1166" i="21"/>
  <c r="F1165" i="21"/>
  <c r="F1164" i="21"/>
  <c r="F1163" i="21"/>
  <c r="F1162" i="21"/>
  <c r="F1161" i="21"/>
  <c r="F1160" i="21"/>
  <c r="F1159" i="21"/>
  <c r="F1158" i="21"/>
  <c r="F1157" i="21"/>
  <c r="F1156" i="21"/>
  <c r="F1155" i="21"/>
  <c r="F1154" i="21"/>
  <c r="F1153" i="21"/>
  <c r="F1152" i="21"/>
  <c r="F1151" i="21"/>
  <c r="F1150" i="21"/>
  <c r="F1149" i="21"/>
  <c r="F1148" i="21"/>
  <c r="F1147" i="21"/>
  <c r="F1146" i="21"/>
  <c r="F1145" i="21"/>
  <c r="F1144" i="21"/>
  <c r="F1143" i="21"/>
  <c r="F1142" i="21"/>
  <c r="F1141" i="21"/>
  <c r="F1140" i="21"/>
  <c r="F1139" i="21"/>
  <c r="F1138" i="21"/>
  <c r="F1137" i="21"/>
  <c r="F1136" i="21"/>
  <c r="F1135" i="21"/>
  <c r="F1134" i="21"/>
  <c r="F1133" i="21"/>
  <c r="F1132" i="21"/>
  <c r="F1131" i="21"/>
  <c r="F1130" i="21"/>
  <c r="F1129" i="21"/>
  <c r="F1128" i="21"/>
  <c r="F1127" i="21"/>
  <c r="F1126" i="21"/>
  <c r="F1125" i="21"/>
  <c r="F1124" i="21"/>
  <c r="F1123" i="21"/>
  <c r="F1122" i="21"/>
  <c r="F1121" i="21"/>
  <c r="F1120" i="21"/>
  <c r="F1119" i="21"/>
  <c r="F1118" i="21"/>
  <c r="F1117" i="21"/>
  <c r="F1116" i="21"/>
  <c r="F1115" i="21"/>
  <c r="F1114" i="21"/>
  <c r="F1113" i="21"/>
  <c r="F1112" i="21"/>
  <c r="F1111" i="21"/>
  <c r="F1110" i="21"/>
  <c r="F1109" i="21"/>
  <c r="F1108" i="21"/>
  <c r="F1107" i="21"/>
  <c r="F1106" i="21"/>
  <c r="F1105" i="21"/>
  <c r="F1104" i="21"/>
  <c r="F1103" i="21"/>
  <c r="F1102" i="21"/>
  <c r="F1101" i="21"/>
  <c r="F1100" i="21"/>
  <c r="F1099" i="21"/>
  <c r="F1098" i="21"/>
  <c r="F1097" i="21"/>
  <c r="F1096" i="21"/>
  <c r="F1095" i="21"/>
  <c r="F1094" i="21"/>
  <c r="F1093" i="21"/>
  <c r="F1092" i="21"/>
  <c r="F1091" i="21"/>
  <c r="F1090" i="21"/>
  <c r="F1089" i="21"/>
  <c r="F1088" i="21"/>
  <c r="F1087" i="21"/>
  <c r="F1086" i="21"/>
  <c r="F1085" i="21"/>
  <c r="F1084" i="21"/>
  <c r="F1083" i="21"/>
  <c r="F1082" i="21"/>
  <c r="F1081" i="21"/>
  <c r="F1080" i="21"/>
  <c r="F1079" i="21"/>
  <c r="F1078" i="21"/>
  <c r="F1077" i="21"/>
  <c r="F1076" i="21"/>
  <c r="F1075" i="21"/>
  <c r="F1074" i="21"/>
  <c r="F1073" i="21"/>
  <c r="F1072" i="21"/>
  <c r="F1071" i="21"/>
  <c r="F1070" i="21"/>
  <c r="F1069" i="21"/>
  <c r="F1068" i="21"/>
  <c r="F1067" i="21"/>
  <c r="F1066" i="21"/>
  <c r="F1065" i="21"/>
  <c r="F1064" i="21"/>
  <c r="F1063" i="21"/>
  <c r="F1062" i="21"/>
  <c r="F1061" i="21"/>
  <c r="F1060" i="21"/>
  <c r="F1059" i="21"/>
  <c r="F1058" i="21"/>
  <c r="F1057" i="21"/>
  <c r="F1056" i="21"/>
  <c r="F1055" i="21"/>
  <c r="F1054" i="21"/>
  <c r="F1053" i="21"/>
  <c r="F1052" i="21"/>
  <c r="F1051" i="21"/>
  <c r="F1050" i="21"/>
  <c r="F1049" i="21"/>
  <c r="F1048" i="21"/>
  <c r="F1047" i="21"/>
  <c r="F1046" i="21"/>
  <c r="F1045" i="21"/>
  <c r="F1044" i="21"/>
  <c r="F1043" i="21"/>
  <c r="F1042" i="21"/>
  <c r="F1041" i="21"/>
  <c r="F1040" i="21"/>
  <c r="F1039" i="21"/>
  <c r="F1038" i="21"/>
  <c r="F1037" i="21"/>
  <c r="F1036" i="21"/>
  <c r="F1035" i="21"/>
  <c r="F1034" i="21"/>
  <c r="F1033" i="21"/>
  <c r="F1032" i="21"/>
  <c r="F1031" i="21"/>
  <c r="F1030" i="21"/>
  <c r="F1029" i="21"/>
  <c r="F1028" i="21"/>
  <c r="F1027" i="21"/>
  <c r="F1026" i="21"/>
  <c r="F1025" i="21"/>
  <c r="F1024" i="21"/>
  <c r="F1023" i="21"/>
  <c r="F1022" i="21"/>
  <c r="F1021" i="21"/>
  <c r="F1020" i="21"/>
  <c r="F1019" i="21"/>
  <c r="F1018" i="21"/>
  <c r="F1017" i="21"/>
  <c r="F1016" i="21"/>
  <c r="F1015" i="21"/>
  <c r="F1014" i="21"/>
  <c r="F1013" i="21"/>
  <c r="F1012" i="21"/>
  <c r="F1011" i="21"/>
  <c r="F1010" i="21"/>
  <c r="F1009" i="21"/>
  <c r="F1008" i="21"/>
  <c r="F1007" i="21"/>
  <c r="F1006" i="21"/>
  <c r="F1005" i="21"/>
  <c r="F1004" i="21"/>
  <c r="F1003" i="21"/>
  <c r="F1002" i="21"/>
  <c r="F1001" i="21"/>
  <c r="F1000" i="21"/>
  <c r="F999" i="21"/>
  <c r="F998" i="21"/>
  <c r="F997" i="21"/>
  <c r="F996" i="21"/>
  <c r="F995" i="21"/>
  <c r="F994" i="21"/>
  <c r="F993" i="21"/>
  <c r="F992" i="21"/>
  <c r="F991" i="21"/>
  <c r="F990" i="21"/>
  <c r="F989" i="21"/>
  <c r="F988" i="21"/>
  <c r="F987" i="21"/>
  <c r="F986" i="21"/>
  <c r="F985" i="21"/>
  <c r="F984" i="21"/>
  <c r="F983" i="21"/>
  <c r="F982" i="21"/>
  <c r="F981" i="21"/>
  <c r="F980" i="21"/>
  <c r="F979" i="21"/>
  <c r="F978" i="21"/>
  <c r="F977" i="21"/>
  <c r="F976" i="21"/>
  <c r="F975" i="21"/>
  <c r="F974" i="21"/>
  <c r="F973" i="21"/>
  <c r="F972" i="21"/>
  <c r="F971" i="21"/>
  <c r="F970" i="21"/>
  <c r="F969" i="21"/>
  <c r="F968" i="21"/>
  <c r="F967" i="21"/>
  <c r="F966" i="21"/>
  <c r="F965" i="21"/>
  <c r="F964" i="21"/>
  <c r="F963" i="21"/>
  <c r="F962" i="21"/>
  <c r="F961" i="21"/>
  <c r="F960" i="21"/>
  <c r="F959" i="21"/>
  <c r="F958" i="21"/>
  <c r="F957" i="21"/>
  <c r="F956" i="21"/>
  <c r="F955" i="21"/>
  <c r="F954" i="21"/>
  <c r="F953" i="21"/>
  <c r="F952" i="21"/>
  <c r="F951" i="21"/>
  <c r="F950" i="21"/>
  <c r="F949" i="21"/>
  <c r="F948" i="21"/>
  <c r="F947" i="21"/>
  <c r="F946" i="21"/>
  <c r="F945" i="21"/>
  <c r="F944" i="21"/>
  <c r="F943" i="21"/>
  <c r="F942" i="21"/>
  <c r="F941" i="21"/>
  <c r="F940" i="21"/>
  <c r="F939" i="21"/>
  <c r="F938" i="21"/>
  <c r="F937" i="21"/>
  <c r="F936" i="21"/>
  <c r="F935" i="21"/>
  <c r="F934" i="21"/>
  <c r="F933" i="21"/>
  <c r="F932" i="21"/>
  <c r="F931" i="21"/>
  <c r="F930" i="21"/>
  <c r="F929" i="21"/>
  <c r="F928" i="21"/>
  <c r="F927" i="21"/>
  <c r="F926" i="21"/>
  <c r="F925" i="21"/>
  <c r="F924" i="21"/>
  <c r="F923" i="21"/>
  <c r="F922" i="21"/>
  <c r="F921" i="21"/>
  <c r="F920" i="21"/>
  <c r="F919" i="21"/>
  <c r="F918" i="21"/>
  <c r="F917" i="21"/>
  <c r="F916" i="21"/>
  <c r="F915" i="21"/>
  <c r="F914" i="21"/>
  <c r="F913" i="21"/>
  <c r="F912" i="21"/>
  <c r="F911" i="21"/>
  <c r="F910" i="21"/>
  <c r="F909" i="21"/>
  <c r="F908" i="21"/>
  <c r="F907" i="21"/>
  <c r="F906" i="21"/>
  <c r="F905" i="21"/>
  <c r="F904" i="21"/>
  <c r="F903" i="21"/>
  <c r="F902" i="21"/>
  <c r="F901" i="21"/>
  <c r="F900" i="21"/>
  <c r="F899" i="21"/>
  <c r="F898" i="21"/>
  <c r="F897" i="21"/>
  <c r="F896" i="21"/>
  <c r="F895" i="21"/>
  <c r="F894" i="21"/>
  <c r="F893" i="21"/>
  <c r="F892" i="21"/>
  <c r="F891" i="21"/>
  <c r="F890" i="21"/>
  <c r="F889" i="21"/>
  <c r="F888" i="21"/>
  <c r="F887" i="21"/>
  <c r="F886" i="21"/>
  <c r="F885" i="21"/>
  <c r="F884" i="21"/>
  <c r="F883" i="21"/>
  <c r="F882" i="21"/>
  <c r="F881" i="21"/>
  <c r="F880" i="21"/>
  <c r="F879" i="21"/>
  <c r="F878" i="21"/>
  <c r="F877" i="21"/>
  <c r="F876" i="21"/>
  <c r="F875" i="21"/>
  <c r="F874" i="21"/>
  <c r="F873" i="21"/>
  <c r="F872" i="21"/>
  <c r="F871" i="21"/>
  <c r="F870" i="21"/>
  <c r="F869" i="21"/>
  <c r="F868" i="21"/>
  <c r="F867" i="21"/>
  <c r="F866" i="21"/>
  <c r="F865" i="21"/>
  <c r="F864" i="21"/>
  <c r="F863" i="21"/>
  <c r="F862" i="21"/>
  <c r="F861" i="21"/>
  <c r="F860" i="21"/>
  <c r="F859" i="21"/>
  <c r="F858" i="21"/>
  <c r="F857" i="21"/>
  <c r="F856" i="21"/>
  <c r="F855" i="21"/>
  <c r="F854" i="21"/>
  <c r="F853" i="21"/>
  <c r="F852" i="21"/>
  <c r="F851" i="21"/>
  <c r="F850" i="21"/>
  <c r="F849" i="21"/>
  <c r="F848" i="21"/>
  <c r="F847" i="21"/>
  <c r="F846" i="21"/>
  <c r="F845" i="21"/>
  <c r="F844" i="21"/>
  <c r="F843" i="21"/>
  <c r="F842" i="21"/>
  <c r="F841" i="21"/>
  <c r="F840" i="21"/>
  <c r="F839" i="21"/>
  <c r="F838" i="21"/>
  <c r="F837" i="21"/>
  <c r="F836" i="21"/>
  <c r="F835" i="21"/>
  <c r="F834" i="21"/>
  <c r="F833" i="21"/>
  <c r="F832" i="21"/>
  <c r="F831" i="21"/>
  <c r="F830" i="21"/>
  <c r="F829" i="21"/>
  <c r="F828" i="21"/>
  <c r="F827" i="21"/>
  <c r="F826" i="21"/>
  <c r="F825" i="21"/>
  <c r="F824" i="21"/>
  <c r="F823" i="21"/>
  <c r="F822" i="21"/>
  <c r="F821" i="21"/>
  <c r="F820" i="21"/>
  <c r="F819" i="21"/>
  <c r="F818" i="21"/>
  <c r="F817" i="21"/>
  <c r="F816" i="21"/>
  <c r="F815" i="21"/>
  <c r="F814" i="21"/>
  <c r="F813" i="21"/>
  <c r="F812" i="21"/>
  <c r="F811" i="21"/>
  <c r="F810" i="21"/>
  <c r="F809" i="21"/>
  <c r="F808" i="21"/>
  <c r="F807" i="21"/>
  <c r="F806" i="21"/>
  <c r="F805" i="21"/>
  <c r="F804" i="21"/>
  <c r="F803" i="21"/>
  <c r="F802" i="21"/>
  <c r="F801" i="21"/>
  <c r="F800" i="21"/>
  <c r="F799" i="21"/>
  <c r="F798" i="21"/>
  <c r="F797" i="21"/>
  <c r="F796" i="21"/>
  <c r="F795" i="21"/>
  <c r="F794" i="21"/>
  <c r="F793" i="21"/>
  <c r="F792" i="21"/>
  <c r="F791" i="21"/>
  <c r="F790" i="21"/>
  <c r="F789" i="21"/>
  <c r="F788" i="21"/>
  <c r="F787" i="21"/>
  <c r="F786" i="21"/>
  <c r="F785" i="21"/>
  <c r="F784" i="21"/>
  <c r="F783" i="21"/>
  <c r="F782" i="21"/>
  <c r="F781" i="21"/>
  <c r="F780" i="21"/>
  <c r="F779" i="21"/>
  <c r="F778" i="21"/>
  <c r="F777" i="21"/>
  <c r="F776" i="21"/>
  <c r="F775" i="21"/>
  <c r="F774" i="21"/>
  <c r="F773" i="21"/>
  <c r="F772" i="21"/>
  <c r="F771" i="21"/>
  <c r="F770" i="21"/>
  <c r="F769" i="21"/>
  <c r="F768" i="21"/>
  <c r="F767" i="21"/>
  <c r="F766" i="21"/>
  <c r="F765" i="21"/>
  <c r="F764" i="21"/>
  <c r="F763" i="21"/>
  <c r="F762" i="21"/>
  <c r="F761" i="21"/>
  <c r="F760" i="21"/>
  <c r="F759" i="21"/>
  <c r="F758" i="21"/>
  <c r="F757" i="21"/>
  <c r="F756" i="21"/>
  <c r="F755" i="21"/>
  <c r="F754" i="21"/>
  <c r="F753" i="21"/>
  <c r="F752" i="21"/>
  <c r="F751" i="21"/>
  <c r="F750" i="21"/>
  <c r="F749" i="21"/>
  <c r="F748" i="21"/>
  <c r="F747" i="21"/>
  <c r="F746" i="21"/>
  <c r="F745" i="21"/>
  <c r="F744" i="21"/>
  <c r="F743" i="21"/>
  <c r="F742" i="21"/>
  <c r="F741" i="21"/>
  <c r="F740" i="21"/>
  <c r="F739" i="21"/>
  <c r="F738" i="21"/>
  <c r="F737" i="21"/>
  <c r="F736" i="21"/>
  <c r="F735" i="21"/>
  <c r="F734" i="21"/>
  <c r="F733" i="21"/>
  <c r="F732" i="21"/>
  <c r="F731" i="21"/>
  <c r="F730" i="21"/>
  <c r="F729" i="21"/>
  <c r="F728" i="21"/>
  <c r="F727" i="21"/>
  <c r="F726" i="21"/>
  <c r="F725" i="21"/>
  <c r="F724" i="21"/>
  <c r="F723" i="21"/>
  <c r="F722" i="21"/>
  <c r="F721" i="21"/>
  <c r="F720" i="21"/>
  <c r="F719" i="21"/>
  <c r="F718" i="21"/>
  <c r="F717" i="21"/>
  <c r="F716" i="21"/>
  <c r="F715" i="21"/>
  <c r="F714" i="21"/>
  <c r="F713" i="21"/>
  <c r="F712" i="21"/>
  <c r="F711" i="21"/>
  <c r="F710" i="21"/>
  <c r="F709" i="21"/>
  <c r="F708" i="21"/>
  <c r="F707" i="21"/>
  <c r="F706" i="21"/>
  <c r="F705" i="21"/>
  <c r="F704" i="21"/>
  <c r="F703" i="21"/>
  <c r="F702" i="21"/>
  <c r="F701" i="21"/>
  <c r="F700" i="21"/>
  <c r="F699" i="21"/>
  <c r="F698" i="21"/>
  <c r="F697" i="21"/>
  <c r="F696" i="21"/>
  <c r="F695" i="21"/>
  <c r="F694" i="21"/>
  <c r="F693" i="21"/>
  <c r="F692" i="21"/>
  <c r="F691" i="21"/>
  <c r="F690" i="21"/>
  <c r="F689" i="21"/>
  <c r="F688" i="21"/>
  <c r="F687" i="21"/>
  <c r="F686" i="21"/>
  <c r="F685" i="21"/>
  <c r="F684" i="21"/>
  <c r="F683" i="21"/>
  <c r="F682" i="21"/>
  <c r="F681" i="21"/>
  <c r="F680" i="21"/>
  <c r="F679" i="21"/>
  <c r="F678" i="21"/>
  <c r="F677" i="21"/>
  <c r="F676" i="21"/>
  <c r="F675" i="21"/>
  <c r="F674" i="21"/>
  <c r="F673" i="21"/>
  <c r="F672" i="21"/>
  <c r="F671" i="21"/>
  <c r="F670" i="21"/>
  <c r="F669" i="21"/>
  <c r="F668" i="21"/>
  <c r="F667" i="21"/>
  <c r="F666" i="21"/>
  <c r="F665" i="21"/>
  <c r="F664" i="21"/>
  <c r="F663" i="21"/>
  <c r="F662" i="21"/>
  <c r="F661" i="21"/>
  <c r="F660" i="21"/>
  <c r="F659" i="21"/>
  <c r="F658" i="21"/>
  <c r="F657" i="21"/>
  <c r="F656" i="21"/>
  <c r="F655" i="21"/>
  <c r="F654" i="21"/>
  <c r="F653" i="21"/>
  <c r="F652" i="21"/>
  <c r="F651" i="21"/>
  <c r="F650" i="21"/>
  <c r="F649" i="21"/>
  <c r="F648" i="21"/>
  <c r="F647" i="21"/>
  <c r="F646" i="21"/>
  <c r="F645" i="21"/>
  <c r="F644" i="21"/>
  <c r="F643" i="21"/>
  <c r="F642" i="21"/>
  <c r="F641" i="21"/>
  <c r="F640" i="21"/>
  <c r="F639" i="21"/>
  <c r="F638" i="21"/>
  <c r="F637" i="21"/>
  <c r="F636" i="21"/>
  <c r="F635" i="21"/>
  <c r="F634" i="21"/>
  <c r="F633" i="21"/>
  <c r="F632" i="21"/>
  <c r="F631" i="21"/>
  <c r="F630" i="21"/>
  <c r="F629" i="21"/>
  <c r="F628" i="21"/>
  <c r="F627" i="21"/>
  <c r="F626" i="21"/>
  <c r="F625" i="21"/>
  <c r="F624" i="21"/>
  <c r="F623" i="21"/>
  <c r="F622" i="21"/>
  <c r="F621" i="21"/>
  <c r="F620" i="21"/>
  <c r="F619" i="21"/>
  <c r="F618" i="21"/>
  <c r="F617" i="21"/>
  <c r="F616" i="21"/>
  <c r="F615" i="21"/>
  <c r="F614" i="21"/>
  <c r="F613" i="21"/>
  <c r="F612" i="21"/>
  <c r="F611" i="21"/>
  <c r="F610" i="21"/>
  <c r="F609" i="21"/>
  <c r="F608" i="21"/>
  <c r="F607" i="21"/>
  <c r="F606" i="21"/>
  <c r="F605" i="21"/>
  <c r="F604" i="21"/>
  <c r="F603" i="21"/>
  <c r="F602" i="21"/>
  <c r="F601" i="21"/>
  <c r="F600" i="21"/>
  <c r="F599" i="21"/>
  <c r="F598" i="21"/>
  <c r="F597" i="21"/>
  <c r="F596" i="21"/>
  <c r="F595" i="21"/>
  <c r="F594" i="21"/>
  <c r="F593" i="21"/>
  <c r="F592" i="21"/>
  <c r="F591" i="21"/>
  <c r="F590" i="21"/>
  <c r="F589" i="21"/>
  <c r="F588" i="21"/>
  <c r="F587" i="21"/>
  <c r="F586" i="21"/>
  <c r="F585" i="21"/>
  <c r="F584" i="21"/>
  <c r="F583" i="21"/>
  <c r="F582" i="21"/>
  <c r="F581" i="21"/>
  <c r="F580" i="21"/>
  <c r="F579" i="21"/>
  <c r="F578" i="21"/>
  <c r="F577" i="21"/>
  <c r="F576" i="21"/>
  <c r="F575" i="21"/>
  <c r="F574" i="21"/>
  <c r="F573" i="21"/>
  <c r="F572" i="21"/>
  <c r="F571" i="21"/>
  <c r="F570" i="21"/>
  <c r="F569" i="21"/>
  <c r="F568" i="21"/>
  <c r="F567" i="21"/>
  <c r="F566" i="21"/>
  <c r="F565" i="21"/>
  <c r="F564" i="21"/>
  <c r="F563" i="21"/>
  <c r="F562" i="21"/>
  <c r="F561" i="21"/>
  <c r="F560" i="21"/>
  <c r="F559" i="21"/>
  <c r="F558" i="21"/>
  <c r="F557" i="21"/>
  <c r="F556" i="21"/>
  <c r="F555" i="21"/>
  <c r="F554" i="21"/>
  <c r="F553" i="21"/>
  <c r="F552" i="21"/>
  <c r="F551" i="21"/>
  <c r="F550" i="21"/>
  <c r="F549" i="21"/>
  <c r="F548" i="21"/>
  <c r="F547" i="21"/>
  <c r="F546" i="21"/>
  <c r="F545" i="21"/>
  <c r="F544" i="21"/>
  <c r="F543" i="21"/>
  <c r="F542" i="21"/>
  <c r="F541" i="21"/>
  <c r="F540" i="21"/>
  <c r="F539" i="21"/>
  <c r="F538" i="21"/>
  <c r="F537" i="21"/>
  <c r="F536" i="21"/>
  <c r="F535" i="21"/>
  <c r="F534" i="21"/>
  <c r="F533" i="21"/>
  <c r="F532" i="21"/>
  <c r="F531" i="21"/>
  <c r="F530" i="21"/>
  <c r="F529" i="21"/>
  <c r="F528" i="21"/>
  <c r="F527" i="21"/>
  <c r="F526" i="21"/>
  <c r="F525" i="21"/>
  <c r="F524" i="21"/>
  <c r="F523" i="21"/>
  <c r="F522" i="21"/>
  <c r="F521" i="21"/>
  <c r="F520" i="21"/>
  <c r="F519" i="21"/>
  <c r="F518" i="21"/>
  <c r="F517" i="21"/>
  <c r="F516" i="21"/>
  <c r="F515" i="21"/>
  <c r="F514" i="21"/>
  <c r="F513" i="21"/>
  <c r="F512" i="21"/>
  <c r="F511" i="21"/>
  <c r="F510" i="21"/>
  <c r="F509" i="21"/>
  <c r="F508" i="21"/>
  <c r="F507" i="21"/>
  <c r="F506" i="21"/>
  <c r="F505" i="21"/>
  <c r="F504" i="21"/>
  <c r="F503" i="21"/>
  <c r="F502" i="21"/>
  <c r="F501" i="21"/>
  <c r="F500" i="21"/>
  <c r="F499" i="21"/>
  <c r="F498" i="21"/>
  <c r="F497" i="21"/>
  <c r="F496" i="21"/>
  <c r="F495" i="21"/>
  <c r="F494" i="21"/>
  <c r="F493" i="21"/>
  <c r="F492" i="21"/>
  <c r="F491" i="21"/>
  <c r="F490" i="21"/>
  <c r="F489" i="21"/>
  <c r="F488" i="21"/>
  <c r="F487" i="21"/>
  <c r="F486" i="21"/>
  <c r="F485" i="21"/>
  <c r="F484" i="21"/>
  <c r="F483" i="21"/>
  <c r="F482" i="21"/>
  <c r="F481" i="21"/>
  <c r="F480" i="21"/>
  <c r="F479" i="21"/>
  <c r="F478" i="21"/>
  <c r="F477" i="21"/>
  <c r="F476" i="21"/>
  <c r="F475" i="21"/>
  <c r="F474" i="21"/>
  <c r="F473" i="21"/>
  <c r="F472" i="21"/>
  <c r="F471" i="21"/>
  <c r="F470" i="21"/>
  <c r="F469" i="21"/>
  <c r="F468" i="21"/>
  <c r="F467" i="21"/>
  <c r="F466" i="21"/>
  <c r="F465" i="21"/>
  <c r="F464" i="21"/>
  <c r="F463" i="21"/>
  <c r="F462" i="21"/>
  <c r="F461" i="21"/>
  <c r="F460" i="21"/>
  <c r="F459" i="21"/>
  <c r="F458" i="21"/>
  <c r="F457" i="21"/>
  <c r="F456" i="21"/>
  <c r="F455" i="21"/>
  <c r="F454" i="21"/>
  <c r="F453" i="21"/>
  <c r="F452" i="21"/>
  <c r="F451" i="21"/>
  <c r="F450" i="21"/>
  <c r="F449" i="21"/>
  <c r="F448" i="21"/>
  <c r="F447" i="21"/>
  <c r="F446" i="21"/>
  <c r="F445" i="21"/>
  <c r="F444" i="21"/>
  <c r="F443" i="21"/>
  <c r="F442" i="21"/>
  <c r="F441" i="21"/>
  <c r="F440" i="21"/>
  <c r="F439" i="21"/>
  <c r="F438" i="21"/>
  <c r="F437" i="21"/>
  <c r="F436" i="21"/>
  <c r="F435" i="21"/>
  <c r="F434" i="21"/>
  <c r="F433" i="21"/>
  <c r="F432" i="21"/>
  <c r="F431" i="21"/>
  <c r="F430" i="21"/>
  <c r="F429" i="21"/>
  <c r="F428" i="21"/>
  <c r="F427" i="21"/>
  <c r="F426" i="21"/>
  <c r="F425" i="21"/>
  <c r="F424" i="21"/>
  <c r="F423" i="21"/>
  <c r="F422" i="21"/>
  <c r="F421" i="21"/>
  <c r="F420" i="21"/>
  <c r="F419" i="21"/>
  <c r="F418" i="21"/>
  <c r="F417" i="21"/>
  <c r="F416" i="21"/>
  <c r="F415" i="21"/>
  <c r="F414" i="21"/>
  <c r="F413" i="21"/>
  <c r="F412" i="21"/>
  <c r="F411" i="21"/>
  <c r="F410" i="21"/>
  <c r="F409" i="21"/>
  <c r="F408" i="21"/>
  <c r="F407" i="21"/>
  <c r="F406" i="21"/>
  <c r="F405" i="21"/>
  <c r="F404" i="21"/>
  <c r="F403" i="21"/>
  <c r="F402" i="21"/>
  <c r="F401" i="21"/>
  <c r="F400" i="21"/>
  <c r="F399" i="21"/>
  <c r="F398" i="21"/>
  <c r="F397" i="21"/>
  <c r="F396" i="21"/>
  <c r="F395" i="21"/>
  <c r="F394" i="21"/>
  <c r="F393" i="21"/>
  <c r="F392" i="21"/>
  <c r="F391" i="21"/>
  <c r="F390" i="21"/>
  <c r="F389" i="21"/>
  <c r="F388" i="21"/>
  <c r="F387" i="21"/>
  <c r="F386" i="21"/>
  <c r="F385" i="21"/>
  <c r="F384" i="21"/>
  <c r="F383" i="21"/>
  <c r="F382" i="21"/>
  <c r="F381" i="21"/>
  <c r="F380" i="21"/>
  <c r="F379" i="21"/>
  <c r="F378" i="21"/>
  <c r="F377" i="21"/>
  <c r="F376" i="21"/>
  <c r="F375" i="21"/>
  <c r="F374" i="21"/>
  <c r="F373" i="21"/>
  <c r="F372" i="21"/>
  <c r="F371" i="21"/>
  <c r="F370" i="21"/>
  <c r="F369" i="21"/>
  <c r="F368" i="21"/>
  <c r="F367" i="21"/>
  <c r="F366" i="21"/>
  <c r="F365" i="21"/>
  <c r="F364" i="21"/>
  <c r="F363" i="21"/>
  <c r="F362" i="21"/>
  <c r="F361" i="21"/>
  <c r="F360" i="21"/>
  <c r="F359" i="21"/>
  <c r="F358" i="21"/>
  <c r="F357" i="21"/>
  <c r="F356" i="21"/>
  <c r="F355" i="21"/>
  <c r="F354" i="21"/>
  <c r="F353" i="21"/>
  <c r="F352" i="21"/>
  <c r="F351" i="21"/>
  <c r="F350" i="21"/>
  <c r="F349" i="21"/>
  <c r="F348" i="21"/>
  <c r="F347" i="21"/>
  <c r="F346" i="21"/>
  <c r="F345" i="21"/>
  <c r="F344" i="21"/>
  <c r="F343" i="21"/>
  <c r="F342" i="21"/>
  <c r="F341" i="21"/>
  <c r="F340" i="21"/>
  <c r="F339" i="21"/>
  <c r="F338" i="21"/>
  <c r="F337" i="21"/>
  <c r="F336" i="21"/>
  <c r="F335" i="21"/>
  <c r="F334" i="21"/>
  <c r="F333" i="21"/>
  <c r="F332" i="21"/>
  <c r="F331" i="21"/>
  <c r="F330" i="21"/>
  <c r="F329" i="21"/>
  <c r="F328" i="21"/>
  <c r="F327" i="21"/>
  <c r="F326" i="21"/>
  <c r="F325" i="21"/>
  <c r="F324" i="21"/>
  <c r="F323" i="21"/>
  <c r="F322" i="21"/>
  <c r="F321" i="21"/>
  <c r="F320" i="21"/>
  <c r="F319" i="21"/>
  <c r="F318" i="21"/>
  <c r="F317" i="21"/>
  <c r="F316" i="21"/>
  <c r="F315" i="21"/>
  <c r="F314" i="21"/>
  <c r="F313" i="21"/>
  <c r="F312" i="21"/>
  <c r="F311" i="21"/>
  <c r="F310" i="21"/>
  <c r="F309" i="21"/>
  <c r="F308" i="21"/>
  <c r="F307" i="21"/>
  <c r="F306" i="21"/>
  <c r="F305" i="21"/>
  <c r="F304" i="21"/>
  <c r="F303" i="21"/>
  <c r="F302" i="21"/>
  <c r="F301" i="21"/>
  <c r="F300" i="21"/>
  <c r="F299" i="21"/>
  <c r="F298" i="21"/>
  <c r="F297" i="21"/>
  <c r="F296" i="21"/>
  <c r="F295" i="21"/>
  <c r="F294" i="21"/>
  <c r="F293" i="21"/>
  <c r="F292" i="21"/>
  <c r="F291" i="21"/>
  <c r="F290" i="21"/>
  <c r="F289" i="21"/>
  <c r="F288" i="21"/>
  <c r="F287" i="21"/>
  <c r="F286" i="21"/>
  <c r="F285" i="21"/>
  <c r="F284" i="21"/>
  <c r="F283" i="21"/>
  <c r="F282" i="21"/>
  <c r="F281" i="21"/>
  <c r="F280" i="21"/>
  <c r="F279" i="21"/>
  <c r="F278" i="21"/>
  <c r="F277" i="21"/>
  <c r="F276" i="21"/>
  <c r="F275" i="21"/>
  <c r="F274" i="21"/>
  <c r="F273" i="21"/>
  <c r="F272" i="21"/>
  <c r="F271" i="21"/>
  <c r="F270" i="21"/>
  <c r="F269" i="21"/>
  <c r="F268" i="21"/>
  <c r="F267" i="21"/>
  <c r="F266" i="21"/>
  <c r="F265" i="21"/>
  <c r="F264" i="21"/>
  <c r="F263" i="21"/>
  <c r="F262" i="21"/>
  <c r="F261" i="21"/>
  <c r="F260" i="21"/>
  <c r="F259" i="21"/>
  <c r="F258" i="21"/>
  <c r="F257" i="21"/>
  <c r="F256" i="21"/>
  <c r="F255" i="21"/>
  <c r="F254" i="21"/>
  <c r="F253" i="21"/>
  <c r="F252" i="21"/>
  <c r="F251" i="21"/>
  <c r="F250" i="21"/>
  <c r="F249" i="21"/>
  <c r="F248" i="21"/>
  <c r="F247" i="21"/>
  <c r="F246" i="21"/>
  <c r="F245" i="21"/>
  <c r="F244" i="21"/>
  <c r="F243" i="21"/>
  <c r="F242" i="21"/>
  <c r="F241" i="21"/>
  <c r="F240" i="21"/>
  <c r="F239" i="21"/>
  <c r="F238" i="21"/>
  <c r="F237" i="21"/>
  <c r="F236" i="21"/>
  <c r="F235" i="21"/>
  <c r="F234" i="21"/>
  <c r="F233" i="21"/>
  <c r="F232" i="21"/>
  <c r="F231" i="21"/>
  <c r="F230" i="21"/>
  <c r="F229" i="21"/>
  <c r="F228" i="21"/>
  <c r="F227" i="21"/>
  <c r="F226" i="21"/>
  <c r="F225" i="21"/>
  <c r="F224" i="21"/>
  <c r="F223" i="21"/>
  <c r="F222" i="21"/>
  <c r="F221" i="21"/>
  <c r="F220" i="21"/>
  <c r="F219" i="21"/>
  <c r="F218" i="21"/>
  <c r="F217" i="21"/>
  <c r="F216" i="21"/>
  <c r="F215" i="21"/>
  <c r="F214" i="21"/>
  <c r="F213" i="21"/>
  <c r="F212" i="21"/>
  <c r="F211" i="21"/>
  <c r="F210" i="21"/>
  <c r="F209" i="21"/>
  <c r="F208" i="21"/>
  <c r="F207" i="21"/>
  <c r="F206" i="21"/>
  <c r="F205" i="21"/>
  <c r="F204" i="21"/>
  <c r="F203" i="21"/>
  <c r="F202" i="21"/>
  <c r="F201" i="21"/>
  <c r="F200" i="21"/>
  <c r="F199" i="21"/>
  <c r="F198" i="21"/>
  <c r="F197" i="21"/>
  <c r="F196" i="21"/>
  <c r="F195" i="21"/>
  <c r="F194" i="21"/>
  <c r="F193" i="21"/>
  <c r="F192" i="21"/>
  <c r="F191" i="21"/>
  <c r="F190" i="21"/>
  <c r="F189" i="21"/>
  <c r="F188" i="21"/>
  <c r="F187" i="21"/>
  <c r="F186" i="21"/>
  <c r="F185" i="21"/>
  <c r="F184" i="21"/>
  <c r="F183" i="21"/>
  <c r="F182" i="21"/>
  <c r="F181" i="21"/>
  <c r="F180" i="21"/>
  <c r="F179" i="21"/>
  <c r="F178" i="21"/>
  <c r="F177" i="21"/>
  <c r="F176" i="21"/>
  <c r="F175" i="21"/>
  <c r="F174" i="21"/>
  <c r="F173" i="21"/>
  <c r="F172" i="21"/>
  <c r="F171" i="21"/>
  <c r="F170" i="21"/>
  <c r="F169" i="21"/>
  <c r="F168" i="21"/>
  <c r="F167" i="21"/>
  <c r="F166" i="21"/>
  <c r="F165" i="21"/>
  <c r="F164" i="21"/>
  <c r="F163" i="21"/>
  <c r="F162" i="21"/>
  <c r="F161" i="21"/>
  <c r="F160" i="21"/>
  <c r="F159" i="21"/>
  <c r="F158" i="21"/>
  <c r="F157" i="21"/>
  <c r="F156" i="21"/>
  <c r="F155" i="21"/>
  <c r="F154" i="21"/>
  <c r="F153" i="21"/>
  <c r="F152" i="21"/>
  <c r="F151" i="21"/>
  <c r="F150" i="21"/>
  <c r="F149" i="21"/>
  <c r="F148" i="21"/>
  <c r="F147" i="21"/>
  <c r="F146" i="21"/>
  <c r="F145" i="21"/>
  <c r="F144" i="21"/>
  <c r="F143" i="21"/>
  <c r="F142" i="21"/>
  <c r="F141" i="21"/>
  <c r="F140" i="21"/>
  <c r="F139" i="21"/>
  <c r="F138" i="21"/>
  <c r="F137" i="21"/>
  <c r="F136" i="21"/>
  <c r="F135" i="21"/>
  <c r="F134" i="21"/>
  <c r="F133" i="21"/>
  <c r="F132" i="21"/>
  <c r="F131" i="21"/>
  <c r="F130" i="21"/>
  <c r="F129" i="21"/>
  <c r="F128" i="21"/>
  <c r="F127" i="21"/>
  <c r="F126" i="21"/>
  <c r="F125" i="21"/>
  <c r="F124" i="21"/>
  <c r="F123" i="21"/>
  <c r="F122" i="21"/>
  <c r="F121" i="21"/>
  <c r="F120" i="21"/>
  <c r="F119" i="21"/>
  <c r="F118" i="21"/>
  <c r="F117" i="21"/>
  <c r="F116" i="21"/>
  <c r="F115" i="21"/>
  <c r="F114" i="21"/>
  <c r="F113" i="21"/>
  <c r="F112" i="21"/>
  <c r="F111" i="21"/>
  <c r="F110" i="21"/>
  <c r="F109" i="21"/>
  <c r="F108" i="21"/>
  <c r="F107" i="21"/>
  <c r="F106" i="21"/>
  <c r="A6" i="21"/>
  <c r="A7" i="21" s="1"/>
  <c r="A8" i="21" s="1"/>
  <c r="A9" i="21" s="1"/>
  <c r="A10" i="21" s="1"/>
  <c r="A11" i="21" s="1"/>
  <c r="A12" i="21" s="1"/>
  <c r="A13" i="21" s="1"/>
  <c r="A14" i="21" s="1"/>
  <c r="A15" i="21" s="1"/>
  <c r="A16" i="21" s="1"/>
  <c r="A17" i="21" s="1"/>
  <c r="A18" i="21" s="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63" i="21" s="1"/>
  <c r="A64" i="21" s="1"/>
  <c r="A65" i="21" s="1"/>
  <c r="A66" i="21" s="1"/>
  <c r="A67" i="21" s="1"/>
  <c r="A68" i="21" s="1"/>
  <c r="A69" i="21" s="1"/>
  <c r="A70" i="21" s="1"/>
  <c r="A71" i="21" s="1"/>
  <c r="A72" i="21" s="1"/>
  <c r="A73" i="21" s="1"/>
  <c r="A74" i="21" s="1"/>
  <c r="A75" i="21" s="1"/>
  <c r="A76" i="21" s="1"/>
  <c r="A77" i="21" s="1"/>
  <c r="A78" i="21" s="1"/>
  <c r="A79" i="21" s="1"/>
  <c r="A80" i="21" s="1"/>
  <c r="A81" i="21" s="1"/>
  <c r="A82" i="21" s="1"/>
  <c r="A83" i="21" s="1"/>
  <c r="A84" i="21" s="1"/>
  <c r="A85" i="21" s="1"/>
  <c r="A86" i="21" s="1"/>
  <c r="A87" i="21" s="1"/>
  <c r="A88" i="21" s="1"/>
  <c r="A89" i="21" s="1"/>
  <c r="A90" i="21" s="1"/>
  <c r="A91" i="21" s="1"/>
  <c r="A92" i="21" s="1"/>
  <c r="A93" i="21" s="1"/>
  <c r="A94" i="21" s="1"/>
  <c r="A95" i="21" s="1"/>
  <c r="A96" i="21" s="1"/>
  <c r="A97" i="21" s="1"/>
  <c r="A98" i="21" s="1"/>
  <c r="A99" i="21" s="1"/>
  <c r="A100" i="21" s="1"/>
  <c r="A101" i="21" s="1"/>
  <c r="A102" i="21" s="1"/>
  <c r="A103" i="21" s="1"/>
  <c r="A104" i="21" s="1"/>
  <c r="A105" i="21" s="1"/>
  <c r="A106" i="21" s="1"/>
  <c r="A107" i="21" s="1"/>
  <c r="A108" i="21" s="1"/>
  <c r="A109" i="21" s="1"/>
  <c r="A110" i="21" s="1"/>
  <c r="A111" i="21" s="1"/>
  <c r="A112" i="21" s="1"/>
  <c r="A113" i="21" s="1"/>
  <c r="A114" i="21" s="1"/>
  <c r="A115" i="21" s="1"/>
  <c r="A116" i="21" s="1"/>
  <c r="A117" i="21" s="1"/>
  <c r="A118" i="21" s="1"/>
  <c r="A119" i="21" s="1"/>
  <c r="A120" i="21" s="1"/>
  <c r="A121" i="21" s="1"/>
  <c r="A122" i="21" s="1"/>
  <c r="A123" i="21" s="1"/>
  <c r="A124" i="21" s="1"/>
  <c r="A125" i="21" s="1"/>
  <c r="A126" i="21" s="1"/>
  <c r="A127" i="21" s="1"/>
  <c r="A128" i="21" s="1"/>
  <c r="A129" i="21" s="1"/>
  <c r="A130" i="21" s="1"/>
  <c r="A131" i="21" s="1"/>
  <c r="A132" i="21" s="1"/>
  <c r="A133" i="21" s="1"/>
  <c r="A134" i="21" s="1"/>
  <c r="A135" i="21" s="1"/>
  <c r="A136" i="21" s="1"/>
  <c r="A137" i="21" s="1"/>
  <c r="A138" i="21" s="1"/>
  <c r="A139" i="21" s="1"/>
  <c r="A140" i="21" s="1"/>
  <c r="A141" i="21" s="1"/>
  <c r="A142" i="21" s="1"/>
  <c r="A143" i="21" s="1"/>
  <c r="A144" i="21" s="1"/>
  <c r="A145" i="21" s="1"/>
  <c r="A146" i="21" s="1"/>
  <c r="A147" i="21" s="1"/>
  <c r="A148" i="21" s="1"/>
  <c r="A149" i="21" s="1"/>
  <c r="A150" i="21" s="1"/>
  <c r="A151" i="21" s="1"/>
  <c r="A152" i="21" s="1"/>
  <c r="A153" i="21" s="1"/>
  <c r="A154" i="21" s="1"/>
  <c r="A155" i="21" s="1"/>
  <c r="A156" i="21" s="1"/>
  <c r="A157" i="21" s="1"/>
  <c r="A158" i="21" s="1"/>
  <c r="A159" i="21" s="1"/>
  <c r="A160" i="21" s="1"/>
  <c r="A161" i="21" s="1"/>
  <c r="A162" i="21" s="1"/>
  <c r="A163" i="21" s="1"/>
  <c r="A164" i="21" s="1"/>
  <c r="A165" i="21" s="1"/>
  <c r="A166" i="21" s="1"/>
  <c r="A167" i="21" s="1"/>
  <c r="A168" i="21" s="1"/>
  <c r="A169" i="21" s="1"/>
  <c r="A170" i="21" s="1"/>
  <c r="A171" i="21" s="1"/>
  <c r="A172" i="21" s="1"/>
  <c r="A173" i="21" s="1"/>
  <c r="A174" i="21" s="1"/>
  <c r="A175" i="21" s="1"/>
  <c r="A176" i="21" s="1"/>
  <c r="A177" i="21" s="1"/>
  <c r="A178" i="21" s="1"/>
  <c r="A179" i="21" s="1"/>
  <c r="A180" i="21" s="1"/>
  <c r="A181" i="21" s="1"/>
  <c r="A182" i="21" s="1"/>
  <c r="A183" i="21" s="1"/>
  <c r="A184" i="21" s="1"/>
  <c r="A185" i="21" s="1"/>
  <c r="A186" i="21" s="1"/>
  <c r="A187" i="21" s="1"/>
  <c r="A188" i="21" s="1"/>
  <c r="A189" i="21" s="1"/>
  <c r="A190" i="21" s="1"/>
  <c r="A191" i="21" s="1"/>
  <c r="A192" i="21" s="1"/>
  <c r="A193" i="21" s="1"/>
  <c r="A194" i="21" s="1"/>
  <c r="A195" i="21" s="1"/>
  <c r="A196" i="21" s="1"/>
  <c r="A197" i="21" s="1"/>
  <c r="A198" i="21" s="1"/>
  <c r="A199" i="21" s="1"/>
  <c r="A200" i="21" s="1"/>
  <c r="A201" i="21" s="1"/>
  <c r="A202" i="21" s="1"/>
  <c r="A203" i="21" s="1"/>
  <c r="A204" i="21" s="1"/>
  <c r="A205" i="21" s="1"/>
  <c r="A206" i="21" s="1"/>
  <c r="A207" i="21" s="1"/>
  <c r="A208" i="21" s="1"/>
  <c r="A209" i="21" s="1"/>
  <c r="A210" i="21" s="1"/>
  <c r="A211" i="21" s="1"/>
  <c r="A212" i="21" s="1"/>
  <c r="A213" i="21" s="1"/>
  <c r="A214" i="21" s="1"/>
  <c r="A215" i="21" s="1"/>
  <c r="A216" i="21" s="1"/>
  <c r="A217" i="21" s="1"/>
  <c r="A218" i="21" s="1"/>
  <c r="A219" i="21" s="1"/>
  <c r="A220" i="21" s="1"/>
  <c r="A221" i="21" s="1"/>
  <c r="A222" i="21" s="1"/>
  <c r="A223" i="21" s="1"/>
  <c r="A224" i="21" s="1"/>
  <c r="A225" i="21" s="1"/>
  <c r="A226" i="21" s="1"/>
  <c r="A227" i="21" s="1"/>
  <c r="A228" i="21" s="1"/>
  <c r="A229" i="21" s="1"/>
  <c r="A230" i="21" s="1"/>
  <c r="A231" i="21" s="1"/>
  <c r="A232" i="21" s="1"/>
  <c r="A233" i="21" s="1"/>
  <c r="A234" i="21" s="1"/>
  <c r="A235" i="21" s="1"/>
  <c r="A236" i="21" s="1"/>
  <c r="A237" i="21" s="1"/>
  <c r="A238" i="21" s="1"/>
  <c r="A239" i="21" s="1"/>
  <c r="A240" i="21" s="1"/>
  <c r="A241" i="21" s="1"/>
  <c r="A242" i="21" s="1"/>
  <c r="A243" i="21" s="1"/>
  <c r="A244" i="21" s="1"/>
  <c r="A245" i="21" s="1"/>
  <c r="A246" i="21" s="1"/>
  <c r="A247" i="21" s="1"/>
  <c r="A248" i="21" s="1"/>
  <c r="A249" i="21" s="1"/>
  <c r="A250" i="21" s="1"/>
  <c r="A251" i="21" s="1"/>
  <c r="A252" i="21" s="1"/>
  <c r="A253" i="21" s="1"/>
  <c r="A254" i="21" s="1"/>
  <c r="A255" i="21" s="1"/>
  <c r="A256" i="21" s="1"/>
  <c r="A257" i="21" s="1"/>
  <c r="A258" i="21" s="1"/>
  <c r="A259" i="21" s="1"/>
  <c r="A260" i="21" s="1"/>
  <c r="A261" i="21" s="1"/>
  <c r="A262" i="21" s="1"/>
  <c r="A263" i="21" s="1"/>
  <c r="A264" i="21" s="1"/>
  <c r="A265" i="21" s="1"/>
  <c r="A266" i="21" s="1"/>
  <c r="A267" i="21" s="1"/>
  <c r="A268" i="21" s="1"/>
  <c r="A269" i="21" s="1"/>
  <c r="A270" i="21" s="1"/>
  <c r="A271" i="21" s="1"/>
  <c r="A272" i="21" s="1"/>
  <c r="A273" i="21" s="1"/>
  <c r="A274" i="21" s="1"/>
  <c r="A275" i="21" s="1"/>
  <c r="A276" i="21" s="1"/>
  <c r="A277" i="21" s="1"/>
  <c r="A278" i="21" s="1"/>
  <c r="A279" i="21" s="1"/>
  <c r="A280" i="21" s="1"/>
  <c r="A281" i="21" s="1"/>
  <c r="A282" i="21" s="1"/>
  <c r="A283" i="21" s="1"/>
  <c r="A284" i="21" s="1"/>
  <c r="A285" i="21" s="1"/>
  <c r="A286" i="21" s="1"/>
  <c r="A287" i="21" s="1"/>
  <c r="A288" i="21" s="1"/>
  <c r="A289" i="21" s="1"/>
  <c r="A290" i="21" s="1"/>
  <c r="A291" i="21" s="1"/>
  <c r="A292" i="21" s="1"/>
  <c r="A293" i="21" s="1"/>
  <c r="A294" i="21" s="1"/>
  <c r="A295" i="21" s="1"/>
  <c r="A296" i="21" s="1"/>
  <c r="A297" i="21" s="1"/>
  <c r="A298" i="21" s="1"/>
  <c r="A299" i="21" s="1"/>
  <c r="A300" i="21" s="1"/>
  <c r="A301" i="21" s="1"/>
  <c r="A302" i="21" s="1"/>
  <c r="A303" i="21" s="1"/>
  <c r="A304" i="21" s="1"/>
  <c r="A305" i="21" s="1"/>
  <c r="A306" i="21" s="1"/>
  <c r="A307" i="21" s="1"/>
  <c r="A308" i="21" s="1"/>
  <c r="A309" i="21" s="1"/>
  <c r="A310" i="21" s="1"/>
  <c r="A311" i="21" s="1"/>
  <c r="A312" i="21" s="1"/>
  <c r="A313" i="21" s="1"/>
  <c r="A314" i="21" s="1"/>
  <c r="A315" i="21" s="1"/>
  <c r="A316" i="21" s="1"/>
  <c r="A317" i="21" s="1"/>
  <c r="A318" i="21" s="1"/>
  <c r="A319" i="21" s="1"/>
  <c r="A320" i="21" s="1"/>
  <c r="A321" i="21" s="1"/>
  <c r="A322" i="21" s="1"/>
  <c r="A323" i="21" s="1"/>
  <c r="A324" i="21" s="1"/>
  <c r="A325" i="21" s="1"/>
  <c r="A326" i="21" s="1"/>
  <c r="A327" i="21" s="1"/>
  <c r="A328" i="21" s="1"/>
  <c r="A329" i="21" s="1"/>
  <c r="A330" i="21" s="1"/>
  <c r="A331" i="21" s="1"/>
  <c r="A332" i="21" s="1"/>
  <c r="A333" i="21" s="1"/>
  <c r="A334" i="21" s="1"/>
  <c r="A335" i="21" s="1"/>
  <c r="A336" i="21" s="1"/>
  <c r="A337" i="21" s="1"/>
  <c r="A338" i="21" s="1"/>
  <c r="A339" i="21" s="1"/>
  <c r="A340" i="21" s="1"/>
  <c r="A341" i="21" s="1"/>
  <c r="A342" i="21" s="1"/>
  <c r="A343" i="21" s="1"/>
  <c r="A344" i="21" s="1"/>
  <c r="A345" i="21" s="1"/>
  <c r="A346" i="21" s="1"/>
  <c r="A347" i="21" s="1"/>
  <c r="A348" i="21" s="1"/>
  <c r="A349" i="21" s="1"/>
  <c r="A350" i="21" s="1"/>
  <c r="A351" i="21" s="1"/>
  <c r="A352" i="21" s="1"/>
  <c r="A353" i="21" s="1"/>
  <c r="A354" i="21" s="1"/>
  <c r="A355" i="21" s="1"/>
  <c r="A356" i="21" s="1"/>
  <c r="A357" i="21" s="1"/>
  <c r="A358" i="21" s="1"/>
  <c r="A359" i="21" s="1"/>
  <c r="A360" i="21" s="1"/>
  <c r="A361" i="21" s="1"/>
  <c r="A362" i="21" s="1"/>
  <c r="A363" i="21" s="1"/>
  <c r="A364" i="21" s="1"/>
  <c r="A365" i="21" s="1"/>
  <c r="A366" i="21" s="1"/>
  <c r="A367" i="21" s="1"/>
  <c r="A368" i="21" s="1"/>
  <c r="A369" i="21" s="1"/>
  <c r="A370" i="21" s="1"/>
  <c r="A371" i="21" s="1"/>
  <c r="A372" i="21" s="1"/>
  <c r="A373" i="21" s="1"/>
  <c r="A374" i="21" s="1"/>
  <c r="A375" i="21" s="1"/>
  <c r="A376" i="21" s="1"/>
  <c r="A377" i="21" s="1"/>
  <c r="A378" i="21" s="1"/>
  <c r="A379" i="21" s="1"/>
  <c r="A380" i="21" s="1"/>
  <c r="A381" i="21" s="1"/>
  <c r="A382" i="21" s="1"/>
  <c r="A383" i="21" s="1"/>
  <c r="A384" i="21" s="1"/>
  <c r="A385" i="21" s="1"/>
  <c r="A386" i="21" s="1"/>
  <c r="A387" i="21" s="1"/>
  <c r="A388" i="21" s="1"/>
  <c r="A389" i="21" s="1"/>
  <c r="A390" i="21" s="1"/>
  <c r="A391" i="21" s="1"/>
  <c r="A392" i="21" s="1"/>
  <c r="A393" i="21" s="1"/>
  <c r="A394" i="21" s="1"/>
  <c r="A395" i="21" s="1"/>
  <c r="A396" i="21" s="1"/>
  <c r="A397" i="21" s="1"/>
  <c r="A398" i="21" s="1"/>
  <c r="A399" i="21" s="1"/>
  <c r="A400" i="21" s="1"/>
  <c r="A401" i="21" s="1"/>
  <c r="A402" i="21" s="1"/>
  <c r="A403" i="21" s="1"/>
  <c r="A404" i="21" s="1"/>
  <c r="A405" i="21" s="1"/>
  <c r="A406" i="21" s="1"/>
  <c r="A407" i="21" s="1"/>
  <c r="A408" i="21" s="1"/>
  <c r="A409" i="21" s="1"/>
  <c r="A410" i="21" s="1"/>
  <c r="A411" i="21" s="1"/>
  <c r="A412" i="21" s="1"/>
  <c r="A413" i="21" s="1"/>
  <c r="A414" i="21" s="1"/>
  <c r="A415" i="21" s="1"/>
  <c r="A416" i="21" s="1"/>
  <c r="A417" i="21" s="1"/>
  <c r="A418" i="21" s="1"/>
  <c r="A419" i="21" s="1"/>
  <c r="A420" i="21" s="1"/>
  <c r="A421" i="21" s="1"/>
  <c r="A422" i="21" s="1"/>
  <c r="A423" i="21" s="1"/>
  <c r="A424" i="21" s="1"/>
  <c r="A425" i="21" s="1"/>
  <c r="A426" i="21" s="1"/>
  <c r="A427" i="21" s="1"/>
  <c r="A428" i="21" s="1"/>
  <c r="A429" i="21" s="1"/>
  <c r="A430" i="21" s="1"/>
  <c r="A431" i="21" s="1"/>
  <c r="A432" i="21" s="1"/>
  <c r="A433" i="21" s="1"/>
  <c r="A434" i="21" s="1"/>
  <c r="A435" i="21" s="1"/>
  <c r="A436" i="21" s="1"/>
  <c r="A437" i="21" s="1"/>
  <c r="A438" i="21" s="1"/>
  <c r="A439" i="21" s="1"/>
  <c r="A440" i="21" s="1"/>
  <c r="A441" i="21" s="1"/>
  <c r="A442" i="21" s="1"/>
  <c r="A443" i="21" s="1"/>
  <c r="A444" i="21" s="1"/>
  <c r="A445" i="21" s="1"/>
  <c r="A446" i="21" s="1"/>
  <c r="A447" i="21" s="1"/>
  <c r="A448" i="21" s="1"/>
  <c r="A449" i="21" s="1"/>
  <c r="A450" i="21" s="1"/>
  <c r="A451" i="21" s="1"/>
  <c r="A452" i="21" s="1"/>
  <c r="A453" i="21" s="1"/>
  <c r="A454" i="21" s="1"/>
  <c r="A455" i="21" s="1"/>
  <c r="A456" i="21" s="1"/>
  <c r="A457" i="21" s="1"/>
  <c r="A458" i="21" s="1"/>
  <c r="A459" i="21" s="1"/>
  <c r="A460" i="21" s="1"/>
  <c r="A461" i="21" s="1"/>
  <c r="A462" i="21" s="1"/>
  <c r="A463" i="21" s="1"/>
  <c r="A464" i="21" s="1"/>
  <c r="A465" i="21" s="1"/>
  <c r="A466" i="21" s="1"/>
  <c r="A467" i="21" s="1"/>
  <c r="A468" i="21" s="1"/>
  <c r="A469" i="21" s="1"/>
  <c r="A470" i="21" s="1"/>
  <c r="A471" i="21" s="1"/>
  <c r="A472" i="21" s="1"/>
  <c r="A473" i="21" s="1"/>
  <c r="A474" i="21" s="1"/>
  <c r="A475" i="21" s="1"/>
  <c r="A476" i="21" s="1"/>
  <c r="A477" i="21" s="1"/>
  <c r="A478" i="21" s="1"/>
  <c r="A479" i="21" s="1"/>
  <c r="A480" i="21" s="1"/>
  <c r="A481" i="21" s="1"/>
  <c r="A482" i="21" s="1"/>
  <c r="A483" i="21" s="1"/>
  <c r="A484" i="21" s="1"/>
  <c r="A485" i="21" s="1"/>
  <c r="A486" i="21" s="1"/>
  <c r="A487" i="21" s="1"/>
  <c r="A488" i="21" s="1"/>
  <c r="A489" i="21" s="1"/>
  <c r="A490" i="21" s="1"/>
  <c r="A491" i="21" s="1"/>
  <c r="A492" i="21" s="1"/>
  <c r="A493" i="21" s="1"/>
  <c r="A494" i="21" s="1"/>
  <c r="A495" i="21" s="1"/>
  <c r="A496" i="21" s="1"/>
  <c r="A497" i="21" s="1"/>
  <c r="A498" i="21" s="1"/>
  <c r="A499" i="21" s="1"/>
  <c r="A500" i="21" s="1"/>
  <c r="A501" i="21" s="1"/>
  <c r="A502" i="21" s="1"/>
  <c r="A503" i="21" s="1"/>
  <c r="A504" i="21" s="1"/>
  <c r="A505" i="21" s="1"/>
  <c r="A506" i="21" s="1"/>
  <c r="A507" i="21" s="1"/>
  <c r="A508" i="21" s="1"/>
  <c r="A509" i="21" s="1"/>
  <c r="A510" i="21" s="1"/>
  <c r="A511" i="21" s="1"/>
  <c r="A512" i="21" s="1"/>
  <c r="A513" i="21" s="1"/>
  <c r="A514" i="21" s="1"/>
  <c r="A515" i="21" s="1"/>
  <c r="A516" i="21" s="1"/>
  <c r="A517" i="21" s="1"/>
  <c r="A518" i="21" s="1"/>
  <c r="A519" i="21" s="1"/>
  <c r="A520" i="21" s="1"/>
  <c r="A521" i="21" s="1"/>
  <c r="A522" i="21" s="1"/>
  <c r="A523" i="21" s="1"/>
  <c r="A524" i="21" s="1"/>
  <c r="A525" i="21" s="1"/>
  <c r="A526" i="21" s="1"/>
  <c r="A527" i="21" s="1"/>
  <c r="A528" i="21" s="1"/>
  <c r="A529" i="21" s="1"/>
  <c r="A530" i="21" s="1"/>
  <c r="A531" i="21" s="1"/>
  <c r="A532" i="21" s="1"/>
  <c r="A533" i="21" s="1"/>
  <c r="A534" i="21" s="1"/>
  <c r="A535" i="21" s="1"/>
  <c r="A536" i="21" s="1"/>
  <c r="A537" i="21" s="1"/>
  <c r="A538" i="21" s="1"/>
  <c r="A539" i="21" s="1"/>
  <c r="A540" i="21" s="1"/>
  <c r="A541" i="21" s="1"/>
  <c r="A542" i="21" s="1"/>
  <c r="A543" i="21" s="1"/>
  <c r="A544" i="21" s="1"/>
  <c r="A545" i="21" s="1"/>
  <c r="A546" i="21" s="1"/>
  <c r="A547" i="21" s="1"/>
  <c r="A548" i="21" s="1"/>
  <c r="A549" i="21" s="1"/>
  <c r="A550" i="21" s="1"/>
  <c r="A551" i="21" s="1"/>
  <c r="A552" i="21" s="1"/>
  <c r="A553" i="21" s="1"/>
  <c r="A554" i="21" s="1"/>
  <c r="A555" i="21" s="1"/>
  <c r="A556" i="21" s="1"/>
  <c r="A557" i="21" s="1"/>
  <c r="A558" i="21" s="1"/>
  <c r="A559" i="21" s="1"/>
  <c r="A560" i="21" s="1"/>
  <c r="A561" i="21" s="1"/>
  <c r="A562" i="21" s="1"/>
  <c r="A563" i="21" s="1"/>
  <c r="A564" i="21" s="1"/>
  <c r="A565" i="21" s="1"/>
  <c r="A566" i="21" s="1"/>
  <c r="A567" i="21" s="1"/>
  <c r="A568" i="21" s="1"/>
  <c r="A569" i="21" s="1"/>
  <c r="A570" i="21" s="1"/>
  <c r="A571" i="21" s="1"/>
  <c r="A572" i="21" s="1"/>
  <c r="A573" i="21" s="1"/>
  <c r="A574" i="21" s="1"/>
  <c r="A575" i="21" s="1"/>
  <c r="A576" i="21" s="1"/>
  <c r="A577" i="21" s="1"/>
  <c r="A578" i="21" s="1"/>
  <c r="A579" i="21" s="1"/>
  <c r="A580" i="21" s="1"/>
  <c r="A581" i="21" s="1"/>
  <c r="A582" i="21" s="1"/>
  <c r="A583" i="21" s="1"/>
  <c r="A584" i="21" s="1"/>
  <c r="A585" i="21" s="1"/>
  <c r="A586" i="21" s="1"/>
  <c r="A587" i="21" s="1"/>
  <c r="A588" i="21" s="1"/>
  <c r="A589" i="21" s="1"/>
  <c r="A590" i="21" s="1"/>
  <c r="A591" i="21" s="1"/>
  <c r="A592" i="21" s="1"/>
  <c r="A593" i="21" s="1"/>
  <c r="A594" i="21" s="1"/>
  <c r="A595" i="21" s="1"/>
  <c r="A596" i="21" s="1"/>
  <c r="A597" i="21" s="1"/>
  <c r="A598" i="21" s="1"/>
  <c r="A599" i="21" s="1"/>
  <c r="A600" i="21" s="1"/>
  <c r="A601" i="21" s="1"/>
  <c r="A602" i="21" s="1"/>
  <c r="A603" i="21" s="1"/>
  <c r="A604" i="21" s="1"/>
  <c r="A605" i="21" s="1"/>
  <c r="A606" i="21" s="1"/>
  <c r="A607" i="21" s="1"/>
  <c r="A608" i="21" s="1"/>
  <c r="A609" i="21" s="1"/>
  <c r="A610" i="21" s="1"/>
  <c r="A611" i="21" s="1"/>
  <c r="A612" i="21" s="1"/>
  <c r="A613" i="21" s="1"/>
  <c r="A614" i="21" s="1"/>
  <c r="A615" i="21" s="1"/>
  <c r="A616" i="21" s="1"/>
  <c r="A617" i="21" s="1"/>
  <c r="A618" i="21" s="1"/>
  <c r="A619" i="21" s="1"/>
  <c r="A620" i="21" s="1"/>
  <c r="A621" i="21" s="1"/>
  <c r="A622" i="21" s="1"/>
  <c r="A623" i="21" s="1"/>
  <c r="A624" i="21" s="1"/>
  <c r="A625" i="21" s="1"/>
  <c r="A626" i="21" s="1"/>
  <c r="A627" i="21" s="1"/>
  <c r="A628" i="21" s="1"/>
  <c r="A629" i="21" s="1"/>
  <c r="A630" i="21" s="1"/>
  <c r="A631" i="21" s="1"/>
  <c r="A632" i="21" s="1"/>
  <c r="A633" i="21" s="1"/>
  <c r="A634" i="21" s="1"/>
  <c r="A635" i="21" s="1"/>
  <c r="A636" i="21" s="1"/>
  <c r="A637" i="21" s="1"/>
  <c r="A638" i="21" s="1"/>
  <c r="A639" i="21" s="1"/>
  <c r="A640" i="21" s="1"/>
  <c r="A641" i="21" s="1"/>
  <c r="A642" i="21" s="1"/>
  <c r="A643" i="21" s="1"/>
  <c r="A644" i="21" s="1"/>
  <c r="A645" i="21" s="1"/>
  <c r="A646" i="21" s="1"/>
  <c r="A647" i="21" s="1"/>
  <c r="A648" i="21" s="1"/>
  <c r="A649" i="21" s="1"/>
  <c r="A650" i="21" s="1"/>
  <c r="A651" i="21" s="1"/>
  <c r="A652" i="21" s="1"/>
  <c r="A653" i="21" s="1"/>
  <c r="A654" i="21" s="1"/>
  <c r="A655" i="21" s="1"/>
  <c r="A656" i="21" s="1"/>
  <c r="A657" i="21" s="1"/>
  <c r="A658" i="21" s="1"/>
  <c r="A659" i="21" s="1"/>
  <c r="A660" i="21" s="1"/>
  <c r="A661" i="21" s="1"/>
  <c r="A662" i="21" s="1"/>
  <c r="A663" i="21" s="1"/>
  <c r="A664" i="21" s="1"/>
  <c r="A665" i="21" s="1"/>
  <c r="A666" i="21" s="1"/>
  <c r="A667" i="21" s="1"/>
  <c r="A668" i="21" s="1"/>
  <c r="A669" i="21" s="1"/>
  <c r="A670" i="21" s="1"/>
  <c r="A671" i="21" s="1"/>
  <c r="A672" i="21" s="1"/>
  <c r="A673" i="21" s="1"/>
  <c r="A674" i="21" s="1"/>
  <c r="A675" i="21" s="1"/>
  <c r="A676" i="21" s="1"/>
  <c r="A677" i="21" s="1"/>
  <c r="A678" i="21" s="1"/>
  <c r="A679" i="21" s="1"/>
  <c r="A680" i="21" s="1"/>
  <c r="A681" i="21" s="1"/>
  <c r="A682" i="21" s="1"/>
  <c r="A683" i="21" s="1"/>
  <c r="A684" i="21" s="1"/>
  <c r="A685" i="21" s="1"/>
  <c r="A686" i="21" s="1"/>
  <c r="A687" i="21" s="1"/>
  <c r="A688" i="21" s="1"/>
  <c r="A689" i="21" s="1"/>
  <c r="A690" i="21" s="1"/>
  <c r="A691" i="21" s="1"/>
  <c r="A692" i="21" s="1"/>
  <c r="A693" i="21" s="1"/>
  <c r="A694" i="21" s="1"/>
  <c r="A695" i="21" s="1"/>
  <c r="A696" i="21" s="1"/>
  <c r="A697" i="21" s="1"/>
  <c r="A698" i="21" s="1"/>
  <c r="A699" i="21" s="1"/>
  <c r="A700" i="21" s="1"/>
  <c r="A701" i="21" s="1"/>
  <c r="A702" i="21" s="1"/>
  <c r="A703" i="21" s="1"/>
  <c r="A704" i="21" s="1"/>
  <c r="A705" i="21" s="1"/>
  <c r="A706" i="21" s="1"/>
  <c r="A707" i="21" s="1"/>
  <c r="A708" i="21" s="1"/>
  <c r="A709" i="21" s="1"/>
  <c r="A710" i="21" s="1"/>
  <c r="A711" i="21" s="1"/>
  <c r="A712" i="21" s="1"/>
  <c r="A713" i="21" s="1"/>
  <c r="A714" i="21" s="1"/>
  <c r="A715" i="21" s="1"/>
  <c r="A716" i="21" s="1"/>
  <c r="A717" i="21" s="1"/>
  <c r="A718" i="21" s="1"/>
  <c r="A719" i="21" s="1"/>
  <c r="A720" i="21" s="1"/>
  <c r="A721" i="21" s="1"/>
  <c r="A722" i="21" s="1"/>
  <c r="A723" i="21" s="1"/>
  <c r="A724" i="21" s="1"/>
  <c r="A725" i="21" s="1"/>
  <c r="A726" i="21" s="1"/>
  <c r="A727" i="21" s="1"/>
  <c r="A728" i="21" s="1"/>
  <c r="A729" i="21" s="1"/>
  <c r="A730" i="21" s="1"/>
  <c r="A731" i="21" s="1"/>
  <c r="A732" i="21" s="1"/>
  <c r="A733" i="21" s="1"/>
  <c r="A734" i="21" s="1"/>
  <c r="A735" i="21" s="1"/>
  <c r="A736" i="21" s="1"/>
  <c r="A737" i="21" s="1"/>
  <c r="A738" i="21" s="1"/>
  <c r="A739" i="21" s="1"/>
  <c r="A740" i="21" s="1"/>
  <c r="A741" i="21" s="1"/>
  <c r="A742" i="21" s="1"/>
  <c r="A743" i="21" s="1"/>
  <c r="A744" i="21" s="1"/>
  <c r="A745" i="21" s="1"/>
  <c r="A746" i="21" s="1"/>
  <c r="A747" i="21" s="1"/>
  <c r="A748" i="21" s="1"/>
  <c r="A749" i="21" s="1"/>
  <c r="A750" i="21" s="1"/>
  <c r="A751" i="21" s="1"/>
  <c r="A752" i="21" s="1"/>
  <c r="A753" i="21" s="1"/>
  <c r="A754" i="21" s="1"/>
  <c r="A755" i="21" s="1"/>
  <c r="A756" i="21" s="1"/>
  <c r="A757" i="21" s="1"/>
  <c r="A758" i="21" s="1"/>
  <c r="A759" i="21" s="1"/>
  <c r="A760" i="21" s="1"/>
  <c r="A761" i="21" s="1"/>
  <c r="A762" i="21" s="1"/>
  <c r="A763" i="21" s="1"/>
  <c r="A764" i="21" s="1"/>
  <c r="A765" i="21" s="1"/>
  <c r="A766" i="21" s="1"/>
  <c r="A767" i="21" s="1"/>
  <c r="A768" i="21" s="1"/>
  <c r="A769" i="21" s="1"/>
  <c r="A770" i="21" s="1"/>
  <c r="A771" i="21" s="1"/>
  <c r="A772" i="21" s="1"/>
  <c r="A773" i="21" s="1"/>
  <c r="A774" i="21" s="1"/>
  <c r="A775" i="21" s="1"/>
  <c r="A776" i="21" s="1"/>
  <c r="A777" i="21" s="1"/>
  <c r="A778" i="21" s="1"/>
  <c r="A779" i="21" s="1"/>
  <c r="A780" i="21" s="1"/>
  <c r="A781" i="21" s="1"/>
  <c r="A782" i="21" s="1"/>
  <c r="A783" i="21" s="1"/>
  <c r="A784" i="21" s="1"/>
  <c r="A785" i="21" s="1"/>
  <c r="A786" i="21" s="1"/>
  <c r="A787" i="21" s="1"/>
  <c r="A788" i="21" s="1"/>
  <c r="A789" i="21" s="1"/>
  <c r="A790" i="21" s="1"/>
  <c r="A791" i="21" s="1"/>
  <c r="A792" i="21" s="1"/>
  <c r="A793" i="21" s="1"/>
  <c r="A794" i="21" s="1"/>
  <c r="A795" i="21" s="1"/>
  <c r="A796" i="21" s="1"/>
  <c r="A797" i="21" s="1"/>
  <c r="A798" i="21" s="1"/>
  <c r="A799" i="21" s="1"/>
  <c r="A800" i="21" s="1"/>
  <c r="A801" i="21" s="1"/>
  <c r="A802" i="21" s="1"/>
  <c r="A803" i="21" s="1"/>
  <c r="A804" i="21" s="1"/>
  <c r="A805" i="21" s="1"/>
  <c r="A806" i="21" s="1"/>
  <c r="A807" i="21" s="1"/>
  <c r="A808" i="21" s="1"/>
  <c r="A809" i="21" s="1"/>
  <c r="A810" i="21" s="1"/>
  <c r="A811" i="21" s="1"/>
  <c r="A812" i="21" s="1"/>
  <c r="A813" i="21" s="1"/>
  <c r="A814" i="21" s="1"/>
  <c r="A815" i="21" s="1"/>
  <c r="A816" i="21" s="1"/>
  <c r="A817" i="21" s="1"/>
  <c r="A818" i="21" s="1"/>
  <c r="A819" i="21" s="1"/>
  <c r="A820" i="21" s="1"/>
  <c r="A821" i="21" s="1"/>
  <c r="A822" i="21" s="1"/>
  <c r="A823" i="21" s="1"/>
  <c r="A824" i="21" s="1"/>
  <c r="A825" i="21" s="1"/>
  <c r="A826" i="21" s="1"/>
  <c r="A827" i="21" s="1"/>
  <c r="A828" i="21" s="1"/>
  <c r="A829" i="21" s="1"/>
  <c r="A830" i="21" s="1"/>
  <c r="A831" i="21" s="1"/>
  <c r="A832" i="21" s="1"/>
  <c r="A833" i="21" s="1"/>
  <c r="A834" i="21" s="1"/>
  <c r="A835" i="21" s="1"/>
  <c r="A836" i="21" s="1"/>
  <c r="A837" i="21" s="1"/>
  <c r="A838" i="21" s="1"/>
  <c r="A839" i="21" s="1"/>
  <c r="A840" i="21" s="1"/>
  <c r="A841" i="21" s="1"/>
  <c r="A842" i="21" s="1"/>
  <c r="A843" i="21" s="1"/>
  <c r="A844" i="21" s="1"/>
  <c r="A845" i="21" s="1"/>
  <c r="A846" i="21" s="1"/>
  <c r="A847" i="21" s="1"/>
  <c r="A848" i="21" s="1"/>
  <c r="A849" i="21" s="1"/>
  <c r="A850" i="21" s="1"/>
  <c r="A851" i="21" s="1"/>
  <c r="A852" i="21" s="1"/>
  <c r="A853" i="21" s="1"/>
  <c r="A854" i="21" s="1"/>
  <c r="A855" i="21" s="1"/>
  <c r="A856" i="21" s="1"/>
  <c r="A857" i="21" s="1"/>
  <c r="A858" i="21" s="1"/>
  <c r="A859" i="21" s="1"/>
  <c r="A860" i="21" s="1"/>
  <c r="A861" i="21" s="1"/>
  <c r="A862" i="21" s="1"/>
  <c r="A863" i="21" s="1"/>
  <c r="A864" i="21" s="1"/>
  <c r="A865" i="21" s="1"/>
  <c r="A866" i="21" s="1"/>
  <c r="A867" i="21" s="1"/>
  <c r="A868" i="21" s="1"/>
  <c r="A869" i="21" s="1"/>
  <c r="A870" i="21" s="1"/>
  <c r="A871" i="21" s="1"/>
  <c r="A872" i="21" s="1"/>
  <c r="A873" i="21" s="1"/>
  <c r="A874" i="21" s="1"/>
  <c r="A875" i="21" s="1"/>
  <c r="A876" i="21" s="1"/>
  <c r="A877" i="21" s="1"/>
  <c r="A878" i="21" s="1"/>
  <c r="A879" i="21" s="1"/>
  <c r="A880" i="21" s="1"/>
  <c r="A881" i="21" s="1"/>
  <c r="A882" i="21" s="1"/>
  <c r="A883" i="21" s="1"/>
  <c r="A884" i="21" s="1"/>
  <c r="A885" i="21" s="1"/>
  <c r="A886" i="21" s="1"/>
  <c r="A887" i="21" s="1"/>
  <c r="A888" i="21" s="1"/>
  <c r="A889" i="21" s="1"/>
  <c r="A890" i="21" s="1"/>
  <c r="A891" i="21" s="1"/>
  <c r="A892" i="21" s="1"/>
  <c r="A893" i="21" s="1"/>
  <c r="A894" i="21" s="1"/>
  <c r="A895" i="21" s="1"/>
  <c r="A896" i="21" s="1"/>
  <c r="A897" i="21" s="1"/>
  <c r="A898" i="21" s="1"/>
  <c r="A899" i="21" s="1"/>
  <c r="A900" i="21" s="1"/>
  <c r="A901" i="21" s="1"/>
  <c r="A902" i="21" s="1"/>
  <c r="A903" i="21" s="1"/>
  <c r="A904" i="21" s="1"/>
  <c r="A905" i="21" s="1"/>
  <c r="A906" i="21" s="1"/>
  <c r="A907" i="21" s="1"/>
  <c r="A908" i="21" s="1"/>
  <c r="A909" i="21" s="1"/>
  <c r="A910" i="21" s="1"/>
  <c r="A911" i="21" s="1"/>
  <c r="A912" i="21" s="1"/>
  <c r="A913" i="21" s="1"/>
  <c r="A914" i="21" s="1"/>
  <c r="A915" i="21" s="1"/>
  <c r="A916" i="21" s="1"/>
  <c r="A917" i="21" s="1"/>
  <c r="A918" i="21" s="1"/>
  <c r="A919" i="21" s="1"/>
  <c r="A920" i="21" s="1"/>
  <c r="A921" i="21" s="1"/>
  <c r="A922" i="21" s="1"/>
  <c r="A923" i="21" s="1"/>
  <c r="A924" i="21" s="1"/>
  <c r="A925" i="21" s="1"/>
  <c r="A926" i="21" s="1"/>
  <c r="A927" i="21" s="1"/>
  <c r="A928" i="21" s="1"/>
  <c r="A929" i="21" s="1"/>
  <c r="A930" i="21" s="1"/>
  <c r="A931" i="21" s="1"/>
  <c r="A932" i="21" s="1"/>
  <c r="A933" i="21" s="1"/>
  <c r="A934" i="21" s="1"/>
  <c r="A935" i="21" s="1"/>
  <c r="A936" i="21" s="1"/>
  <c r="A937" i="21" s="1"/>
  <c r="A938" i="21" s="1"/>
  <c r="A939" i="21" s="1"/>
  <c r="A940" i="21" s="1"/>
  <c r="A941" i="21" s="1"/>
  <c r="A942" i="21" s="1"/>
  <c r="A943" i="21" s="1"/>
  <c r="A944" i="21" s="1"/>
  <c r="A945" i="21" s="1"/>
  <c r="A946" i="21" s="1"/>
  <c r="A947" i="21" s="1"/>
  <c r="A948" i="21" s="1"/>
  <c r="A949" i="21" s="1"/>
  <c r="A950" i="21" s="1"/>
  <c r="A951" i="21" s="1"/>
  <c r="A952" i="21" s="1"/>
  <c r="A953" i="21" s="1"/>
  <c r="A954" i="21" s="1"/>
  <c r="A955" i="21" s="1"/>
  <c r="A956" i="21" s="1"/>
  <c r="A957" i="21" s="1"/>
  <c r="A958" i="21" s="1"/>
  <c r="A959" i="21" s="1"/>
  <c r="A960" i="21" s="1"/>
  <c r="A961" i="21" s="1"/>
  <c r="A962" i="21" s="1"/>
  <c r="A963" i="21" s="1"/>
  <c r="A964" i="21" s="1"/>
  <c r="A965" i="21" s="1"/>
  <c r="A966" i="21" s="1"/>
  <c r="A967" i="21" s="1"/>
  <c r="A968" i="21" s="1"/>
  <c r="A969" i="21" s="1"/>
  <c r="A970" i="21" s="1"/>
  <c r="A971" i="21" s="1"/>
  <c r="A972" i="21" s="1"/>
  <c r="A973" i="21" s="1"/>
  <c r="A974" i="21" s="1"/>
  <c r="A975" i="21" s="1"/>
  <c r="A976" i="21" s="1"/>
  <c r="A977" i="21" s="1"/>
  <c r="A978" i="21" s="1"/>
  <c r="A979" i="21" s="1"/>
  <c r="A980" i="21" s="1"/>
  <c r="A981" i="21" s="1"/>
  <c r="A982" i="21" s="1"/>
  <c r="A983" i="21" s="1"/>
  <c r="A984" i="21" s="1"/>
  <c r="A985" i="21" s="1"/>
  <c r="A986" i="21" s="1"/>
  <c r="A987" i="21" s="1"/>
  <c r="A988" i="21" s="1"/>
  <c r="A989" i="21" s="1"/>
  <c r="A990" i="21" s="1"/>
  <c r="A991" i="21" s="1"/>
  <c r="A992" i="21" s="1"/>
  <c r="A993" i="21" s="1"/>
  <c r="A994" i="21" s="1"/>
  <c r="A995" i="21" s="1"/>
  <c r="A996" i="21" s="1"/>
  <c r="A997" i="21" s="1"/>
  <c r="A998" i="21" s="1"/>
  <c r="A999" i="21" s="1"/>
  <c r="A1000" i="21" s="1"/>
  <c r="A1001" i="21" s="1"/>
  <c r="A1002" i="21" s="1"/>
  <c r="A1003" i="21" s="1"/>
  <c r="A1004" i="21" s="1"/>
  <c r="A1005" i="21" s="1"/>
  <c r="A1006" i="21" s="1"/>
  <c r="A1007" i="21" s="1"/>
  <c r="A1008" i="21" s="1"/>
  <c r="A1009" i="21" s="1"/>
  <c r="A1010" i="21" s="1"/>
  <c r="A1011" i="21" s="1"/>
  <c r="A1012" i="21" s="1"/>
  <c r="A1013" i="21" s="1"/>
  <c r="A1014" i="21" s="1"/>
  <c r="A1015" i="21" s="1"/>
  <c r="A1016" i="21" s="1"/>
  <c r="A1017" i="21" s="1"/>
  <c r="A1018" i="21" s="1"/>
  <c r="A1019" i="21" s="1"/>
  <c r="A1020" i="21" s="1"/>
  <c r="A1021" i="21" s="1"/>
  <c r="A1022" i="21" s="1"/>
  <c r="A1023" i="21" s="1"/>
  <c r="A1024" i="21" s="1"/>
  <c r="A1025" i="21" s="1"/>
  <c r="A1026" i="21" s="1"/>
  <c r="A1027" i="21" s="1"/>
  <c r="A1028" i="21" s="1"/>
  <c r="A1029" i="21" s="1"/>
  <c r="A1030" i="21" s="1"/>
  <c r="A1031" i="21" s="1"/>
  <c r="A1032" i="21" s="1"/>
  <c r="A1033" i="21" s="1"/>
  <c r="A1034" i="21" s="1"/>
  <c r="A1035" i="21" s="1"/>
  <c r="A1036" i="21" s="1"/>
  <c r="A1037" i="21" s="1"/>
  <c r="A1038" i="21" s="1"/>
  <c r="A1039" i="21" s="1"/>
  <c r="A1040" i="21" s="1"/>
  <c r="A1041" i="21" s="1"/>
  <c r="A1042" i="21" s="1"/>
  <c r="A1043" i="21" s="1"/>
  <c r="A1044" i="21" s="1"/>
  <c r="A1045" i="21" s="1"/>
  <c r="A1046" i="21" s="1"/>
  <c r="A1047" i="21" s="1"/>
  <c r="A1048" i="21" s="1"/>
  <c r="A1049" i="21" s="1"/>
  <c r="A1050" i="21" s="1"/>
  <c r="A1051" i="21" s="1"/>
  <c r="A1052" i="21" s="1"/>
  <c r="A1053" i="21" s="1"/>
  <c r="A1054" i="21" s="1"/>
  <c r="A1055" i="21" s="1"/>
  <c r="A1056" i="21" s="1"/>
  <c r="A1057" i="21" s="1"/>
  <c r="A1058" i="21" s="1"/>
  <c r="A1059" i="21" s="1"/>
  <c r="A1060" i="21" s="1"/>
  <c r="A1061" i="21" s="1"/>
  <c r="A1062" i="21" s="1"/>
  <c r="A1063" i="21" s="1"/>
  <c r="A1064" i="21" s="1"/>
  <c r="A1065" i="21" s="1"/>
  <c r="A1066" i="21" s="1"/>
  <c r="A1067" i="21" s="1"/>
  <c r="A1068" i="21" s="1"/>
  <c r="A1069" i="21" s="1"/>
  <c r="A1070" i="21" s="1"/>
  <c r="A1071" i="21" s="1"/>
  <c r="A1072" i="21" s="1"/>
  <c r="A1073" i="21" s="1"/>
  <c r="A1074" i="21" s="1"/>
  <c r="A1075" i="21" s="1"/>
  <c r="A1076" i="21" s="1"/>
  <c r="A1077" i="21" s="1"/>
  <c r="A1078" i="21" s="1"/>
  <c r="A1079" i="21" s="1"/>
  <c r="A1080" i="21" s="1"/>
  <c r="A1081" i="21" s="1"/>
  <c r="A1082" i="21" s="1"/>
  <c r="A1083" i="21" s="1"/>
  <c r="A1084" i="21" s="1"/>
  <c r="A1085" i="21" s="1"/>
  <c r="A1086" i="21" s="1"/>
  <c r="A1087" i="21" s="1"/>
  <c r="A1088" i="21" s="1"/>
  <c r="A1089" i="21" s="1"/>
  <c r="A1090" i="21" s="1"/>
  <c r="A1091" i="21" s="1"/>
  <c r="A1092" i="21" s="1"/>
  <c r="A1093" i="21" s="1"/>
  <c r="A1094" i="21" s="1"/>
  <c r="A1095" i="21" s="1"/>
  <c r="A1096" i="21" s="1"/>
  <c r="A1097" i="21" s="1"/>
  <c r="A1098" i="21" s="1"/>
  <c r="A1099" i="21" s="1"/>
  <c r="A1100" i="21" s="1"/>
  <c r="A1101" i="21" s="1"/>
  <c r="A1102" i="21" s="1"/>
  <c r="A1103" i="21" s="1"/>
  <c r="A1104" i="21" s="1"/>
  <c r="A1105" i="21" s="1"/>
  <c r="A1106" i="21" s="1"/>
  <c r="A1107" i="21" s="1"/>
  <c r="A1108" i="21" s="1"/>
  <c r="A1109" i="21" s="1"/>
  <c r="A1110" i="21" s="1"/>
  <c r="A1111" i="21" s="1"/>
  <c r="A1112" i="21" s="1"/>
  <c r="A1113" i="21" s="1"/>
  <c r="A1114" i="21" s="1"/>
  <c r="A1115" i="21" s="1"/>
  <c r="A1116" i="21" s="1"/>
  <c r="A1117" i="21" s="1"/>
  <c r="A1118" i="21" s="1"/>
  <c r="A1119" i="21" s="1"/>
  <c r="A1120" i="21" s="1"/>
  <c r="A1121" i="21" s="1"/>
  <c r="A1122" i="21" s="1"/>
  <c r="A1123" i="21" s="1"/>
  <c r="A1124" i="21" s="1"/>
  <c r="A1125" i="21" s="1"/>
  <c r="A1126" i="21" s="1"/>
  <c r="A1127" i="21" s="1"/>
  <c r="A1128" i="21" s="1"/>
  <c r="A1129" i="21" s="1"/>
  <c r="A1130" i="21" s="1"/>
  <c r="A1131" i="21" s="1"/>
  <c r="A1132" i="21" s="1"/>
  <c r="A1133" i="21" s="1"/>
  <c r="A1134" i="21" s="1"/>
  <c r="A1135" i="21" s="1"/>
  <c r="A1136" i="21" s="1"/>
  <c r="A1137" i="21" s="1"/>
  <c r="A1138" i="21" s="1"/>
  <c r="A1139" i="21" s="1"/>
  <c r="A1140" i="21" s="1"/>
  <c r="A1141" i="21" s="1"/>
  <c r="A1142" i="21" s="1"/>
  <c r="A1143" i="21" s="1"/>
  <c r="A1144" i="21" s="1"/>
  <c r="A1145" i="21" s="1"/>
  <c r="A1146" i="21" s="1"/>
  <c r="A1147" i="21" s="1"/>
  <c r="A1148" i="21" s="1"/>
  <c r="A1149" i="21" s="1"/>
  <c r="A1150" i="21" s="1"/>
  <c r="A1151" i="21" s="1"/>
  <c r="A1152" i="21" s="1"/>
  <c r="A1153" i="21" s="1"/>
  <c r="A1154" i="21" s="1"/>
  <c r="A1155" i="21" s="1"/>
  <c r="A1156" i="21" s="1"/>
  <c r="A1157" i="21" s="1"/>
  <c r="A1158" i="21" s="1"/>
  <c r="A1159" i="21" s="1"/>
  <c r="A1160" i="21" s="1"/>
  <c r="A1161" i="21" s="1"/>
  <c r="A1162" i="21" s="1"/>
  <c r="A1163" i="21" s="1"/>
  <c r="A1164" i="21" s="1"/>
  <c r="A1165" i="21" s="1"/>
  <c r="A1166" i="21" s="1"/>
  <c r="A1167" i="21" s="1"/>
  <c r="A1168" i="21" s="1"/>
  <c r="A1169" i="21" s="1"/>
  <c r="A1170" i="21" s="1"/>
  <c r="A1171" i="21" s="1"/>
  <c r="A1172" i="21" s="1"/>
  <c r="A1173" i="21" s="1"/>
  <c r="A1174" i="21" s="1"/>
  <c r="A1175" i="21" s="1"/>
  <c r="A1176" i="21" s="1"/>
  <c r="A1177" i="21" s="1"/>
  <c r="A1178" i="21" s="1"/>
  <c r="A1179" i="21" s="1"/>
  <c r="A1180" i="21" s="1"/>
  <c r="A1181" i="21" s="1"/>
  <c r="A1182" i="21" s="1"/>
  <c r="A1183" i="21" s="1"/>
  <c r="A1184" i="21" s="1"/>
  <c r="A1185" i="21" s="1"/>
  <c r="A1186" i="21" s="1"/>
  <c r="A1187" i="21" s="1"/>
  <c r="A1188" i="21" s="1"/>
  <c r="A1189" i="21" s="1"/>
  <c r="A1190" i="21" s="1"/>
  <c r="A1191" i="21" s="1"/>
  <c r="A1192" i="21" s="1"/>
  <c r="A1193" i="21" s="1"/>
  <c r="A1194" i="21" s="1"/>
  <c r="A1195" i="21" s="1"/>
  <c r="A1196" i="21" s="1"/>
  <c r="A1197" i="21" s="1"/>
  <c r="A1198" i="21" s="1"/>
  <c r="A1199" i="21" s="1"/>
  <c r="A1200" i="21" s="1"/>
  <c r="A1201" i="21" s="1"/>
  <c r="A1202" i="21" s="1"/>
  <c r="A1203" i="21" s="1"/>
  <c r="A1204" i="21" s="1"/>
  <c r="A1205" i="21" s="1"/>
  <c r="A1206" i="21" s="1"/>
  <c r="A1207" i="21" s="1"/>
  <c r="A1208" i="21" s="1"/>
  <c r="A1209" i="21" s="1"/>
  <c r="A1210" i="21" s="1"/>
  <c r="A1211" i="21" s="1"/>
  <c r="A1212" i="21" s="1"/>
  <c r="A1213" i="21" s="1"/>
  <c r="A1214" i="21" s="1"/>
  <c r="A1215" i="21" s="1"/>
  <c r="A1216" i="21" s="1"/>
  <c r="A1217" i="21" s="1"/>
  <c r="A1218" i="21" s="1"/>
  <c r="A1219" i="21" s="1"/>
  <c r="A1220" i="21" s="1"/>
  <c r="A1221" i="21" s="1"/>
  <c r="A1222" i="21" s="1"/>
  <c r="A1223" i="21" s="1"/>
  <c r="A1224" i="21" s="1"/>
  <c r="A1225" i="21" s="1"/>
  <c r="A1226" i="21" s="1"/>
  <c r="A1227" i="21" s="1"/>
  <c r="A1228" i="21" s="1"/>
  <c r="A1229" i="21" s="1"/>
  <c r="A1230" i="21" s="1"/>
  <c r="A1231" i="21" s="1"/>
  <c r="A1232" i="21" s="1"/>
  <c r="A1233" i="21" s="1"/>
  <c r="A1234" i="21" s="1"/>
  <c r="A1235" i="21" s="1"/>
  <c r="A1236" i="21" s="1"/>
  <c r="A1237" i="21" s="1"/>
  <c r="A1238" i="21" s="1"/>
  <c r="A1239" i="21" s="1"/>
  <c r="A1240" i="21" s="1"/>
  <c r="A1241" i="21" s="1"/>
  <c r="A1242" i="21" s="1"/>
  <c r="A1243" i="21" s="1"/>
  <c r="A1244" i="21" s="1"/>
  <c r="A1245" i="21" s="1"/>
  <c r="A1246" i="21" s="1"/>
  <c r="A1247" i="21" s="1"/>
  <c r="A1248" i="21" s="1"/>
  <c r="A1249" i="21" s="1"/>
  <c r="A1250" i="21" s="1"/>
  <c r="A1251" i="21" s="1"/>
  <c r="A1252" i="21" s="1"/>
  <c r="A1253" i="21" s="1"/>
  <c r="A1254" i="21" s="1"/>
  <c r="A1255" i="21" s="1"/>
  <c r="A1256" i="21" s="1"/>
  <c r="A1257" i="21" s="1"/>
  <c r="A1258" i="21" s="1"/>
  <c r="A1259" i="21" s="1"/>
  <c r="A1260" i="21" s="1"/>
  <c r="A1261" i="21" s="1"/>
  <c r="A1262" i="21" s="1"/>
  <c r="A1263" i="21" s="1"/>
  <c r="A1264" i="21" s="1"/>
  <c r="A1265" i="21" s="1"/>
  <c r="A1266" i="21" s="1"/>
  <c r="A1267" i="21" s="1"/>
  <c r="A1268" i="21" s="1"/>
  <c r="A1269" i="21" s="1"/>
  <c r="A1270" i="21" s="1"/>
  <c r="A1271" i="21" s="1"/>
  <c r="A1272" i="21" s="1"/>
  <c r="A1273" i="21" s="1"/>
  <c r="A1274" i="21" s="1"/>
  <c r="A1275" i="21" s="1"/>
  <c r="A1276" i="21" s="1"/>
  <c r="A1277" i="21" s="1"/>
  <c r="A1278" i="21" s="1"/>
  <c r="A1279" i="21" s="1"/>
  <c r="A1280" i="21" s="1"/>
  <c r="A1281" i="21" s="1"/>
  <c r="A1282" i="21" s="1"/>
  <c r="A1283" i="21" s="1"/>
  <c r="A1284" i="21" s="1"/>
  <c r="A1285" i="21" s="1"/>
  <c r="A1286" i="21" s="1"/>
  <c r="A1287" i="21" s="1"/>
  <c r="A1288" i="21" s="1"/>
  <c r="A1289" i="21" s="1"/>
  <c r="A1290" i="21" s="1"/>
  <c r="A1291" i="21" s="1"/>
  <c r="A1292" i="21" s="1"/>
  <c r="A1293" i="21" s="1"/>
  <c r="A1294" i="21" s="1"/>
  <c r="A1295" i="21" s="1"/>
  <c r="A1296" i="21" s="1"/>
  <c r="A1297" i="21" s="1"/>
  <c r="A1298" i="21" s="1"/>
  <c r="A1299" i="21" s="1"/>
  <c r="A1300" i="21" s="1"/>
  <c r="A1301" i="21" s="1"/>
  <c r="A1302" i="21" s="1"/>
  <c r="A1303" i="21" s="1"/>
  <c r="A1304" i="21" s="1"/>
  <c r="A1305" i="21" s="1"/>
  <c r="A1306" i="21" s="1"/>
  <c r="A1307" i="21" s="1"/>
  <c r="A1308" i="21" s="1"/>
  <c r="A1309" i="21" s="1"/>
  <c r="A1310" i="21" s="1"/>
  <c r="A1311" i="21" s="1"/>
  <c r="A1312" i="21" s="1"/>
  <c r="A1313" i="21" s="1"/>
  <c r="A1314" i="21" s="1"/>
  <c r="A1315" i="21" s="1"/>
  <c r="A1316" i="21" s="1"/>
  <c r="A1317" i="21" s="1"/>
  <c r="A1318" i="21" s="1"/>
  <c r="A1319" i="21" s="1"/>
  <c r="A1320" i="21" s="1"/>
  <c r="A1321" i="21" s="1"/>
  <c r="A1322" i="21" s="1"/>
  <c r="A1323" i="21" s="1"/>
  <c r="A1324" i="21" s="1"/>
  <c r="A1325" i="21" s="1"/>
  <c r="A1326" i="21" s="1"/>
  <c r="A1327" i="21" s="1"/>
  <c r="A1328" i="21" s="1"/>
  <c r="A1329" i="21" s="1"/>
  <c r="A1330" i="21" s="1"/>
  <c r="A1331" i="21" s="1"/>
  <c r="A1332" i="21" s="1"/>
  <c r="A1333" i="21" s="1"/>
  <c r="A1334" i="21" s="1"/>
  <c r="A1335" i="21" s="1"/>
  <c r="A1336" i="21" s="1"/>
  <c r="A1337" i="21" s="1"/>
  <c r="A1338" i="21" s="1"/>
  <c r="A1339" i="21" s="1"/>
  <c r="A1340" i="21" s="1"/>
  <c r="A1341" i="21" s="1"/>
  <c r="A1342" i="21" s="1"/>
  <c r="A1343" i="21" s="1"/>
  <c r="A1344" i="21" s="1"/>
  <c r="A1345" i="21" s="1"/>
  <c r="A1346" i="21" s="1"/>
  <c r="A1347" i="21" s="1"/>
  <c r="A1348" i="21" s="1"/>
  <c r="A1349" i="21" s="1"/>
  <c r="A1350" i="21" s="1"/>
  <c r="A1351" i="21" s="1"/>
  <c r="A1352" i="21" s="1"/>
  <c r="A1353" i="21" s="1"/>
  <c r="A1354" i="21" s="1"/>
  <c r="A1355" i="21" s="1"/>
  <c r="A1356" i="21" s="1"/>
  <c r="A1357" i="21" s="1"/>
  <c r="A1358" i="21" s="1"/>
  <c r="A1359" i="21" s="1"/>
  <c r="A1360" i="21" s="1"/>
  <c r="A1361" i="21" s="1"/>
  <c r="A1362" i="21" s="1"/>
  <c r="A1363" i="21" s="1"/>
  <c r="A1364" i="21" s="1"/>
  <c r="A1365" i="21" s="1"/>
  <c r="A1366" i="21" s="1"/>
  <c r="A1367" i="21" s="1"/>
  <c r="A1368" i="21" s="1"/>
  <c r="A1369" i="21" s="1"/>
  <c r="A1370" i="21" s="1"/>
  <c r="A1371" i="21" s="1"/>
  <c r="A1372" i="21" s="1"/>
  <c r="A1373" i="21" s="1"/>
  <c r="A1374" i="21" s="1"/>
  <c r="A1375" i="21" s="1"/>
  <c r="A1376" i="21" s="1"/>
  <c r="A1377" i="21" s="1"/>
  <c r="A1378" i="21" s="1"/>
  <c r="A1379" i="21" s="1"/>
  <c r="A1380" i="21" s="1"/>
  <c r="A1381" i="21" s="1"/>
  <c r="A1382" i="21" s="1"/>
  <c r="A1383" i="21" s="1"/>
  <c r="A1384" i="21" s="1"/>
  <c r="A1385" i="21" s="1"/>
  <c r="A1386" i="21" s="1"/>
  <c r="A1387" i="21" s="1"/>
  <c r="A1388" i="21" s="1"/>
  <c r="A1389" i="21" s="1"/>
  <c r="A1390" i="21" s="1"/>
  <c r="A1391" i="21" s="1"/>
  <c r="A1392" i="21" s="1"/>
  <c r="A1393" i="21" s="1"/>
  <c r="A1394" i="21" s="1"/>
  <c r="A1395" i="21" s="1"/>
  <c r="A1396" i="21" s="1"/>
  <c r="A1397" i="21" s="1"/>
  <c r="A1398" i="21" s="1"/>
  <c r="A1399" i="21" s="1"/>
  <c r="A1400" i="21" s="1"/>
  <c r="A1401" i="21" s="1"/>
  <c r="A1402" i="21" s="1"/>
  <c r="A1403" i="21" s="1"/>
  <c r="A1404" i="21" s="1"/>
  <c r="A1405" i="21" s="1"/>
  <c r="A1406" i="21" s="1"/>
  <c r="A1407" i="21" s="1"/>
  <c r="A1408" i="21" s="1"/>
  <c r="A1409" i="21" s="1"/>
  <c r="A1410" i="21" s="1"/>
  <c r="A1411" i="21" s="1"/>
  <c r="A1412" i="21" s="1"/>
  <c r="A1413" i="21" s="1"/>
  <c r="A1414" i="21" s="1"/>
  <c r="A1415" i="21" s="1"/>
  <c r="A1416" i="21" s="1"/>
  <c r="A1417" i="21" s="1"/>
  <c r="A1418" i="21" s="1"/>
  <c r="A1419" i="21" s="1"/>
  <c r="A1420" i="21" s="1"/>
  <c r="A1421" i="21" s="1"/>
  <c r="A1422" i="21" s="1"/>
  <c r="A1423" i="21" s="1"/>
  <c r="A1424" i="21" s="1"/>
  <c r="A1425" i="21" s="1"/>
  <c r="A1426" i="21" s="1"/>
  <c r="A1427" i="21" s="1"/>
  <c r="A1428" i="21" s="1"/>
  <c r="A1429" i="21" s="1"/>
  <c r="A1430" i="21" s="1"/>
  <c r="A1431" i="21" s="1"/>
  <c r="A1432" i="21" s="1"/>
  <c r="A1433" i="21" s="1"/>
  <c r="A1434" i="21" s="1"/>
  <c r="A1435" i="21" s="1"/>
  <c r="A1436" i="21" s="1"/>
  <c r="A1437" i="21" s="1"/>
  <c r="A1438" i="21" s="1"/>
  <c r="A1439" i="21" s="1"/>
  <c r="A1440" i="21" s="1"/>
  <c r="A1441" i="21" s="1"/>
  <c r="A1442" i="21" s="1"/>
  <c r="A1443" i="21" s="1"/>
  <c r="A1444" i="21" s="1"/>
  <c r="A1445" i="21" s="1"/>
  <c r="A1446" i="21" s="1"/>
  <c r="A1447" i="21" s="1"/>
  <c r="A1448" i="21" s="1"/>
  <c r="A1449" i="21" s="1"/>
  <c r="A1450" i="21" s="1"/>
  <c r="A1451" i="21" s="1"/>
  <c r="A1452" i="21" s="1"/>
  <c r="A1453" i="21" s="1"/>
  <c r="A1454" i="21" s="1"/>
  <c r="A1455" i="21" s="1"/>
  <c r="A1456" i="21" s="1"/>
  <c r="A1457" i="21" s="1"/>
  <c r="A1458" i="21" s="1"/>
  <c r="A1459" i="21" s="1"/>
  <c r="A1460" i="21" s="1"/>
  <c r="A1461" i="21" s="1"/>
  <c r="A1462" i="21" s="1"/>
  <c r="A1463" i="21" s="1"/>
  <c r="A1464" i="21" s="1"/>
  <c r="A1465" i="21" s="1"/>
  <c r="A1466" i="21" s="1"/>
  <c r="A1467" i="21" s="1"/>
  <c r="A1468" i="21" s="1"/>
  <c r="A1469" i="21" s="1"/>
  <c r="A1470" i="21" s="1"/>
  <c r="A1471" i="21" s="1"/>
  <c r="A1472" i="21" s="1"/>
  <c r="A1473" i="21" s="1"/>
  <c r="A1474" i="21" s="1"/>
  <c r="A1475" i="21" s="1"/>
  <c r="A1476" i="21" s="1"/>
  <c r="A1477" i="21" s="1"/>
  <c r="A1478" i="21" s="1"/>
  <c r="A1479" i="21" s="1"/>
  <c r="A1480" i="21" s="1"/>
  <c r="A1481" i="21" s="1"/>
  <c r="A1482" i="21" s="1"/>
  <c r="A1483" i="21" s="1"/>
  <c r="A1484" i="21" s="1"/>
  <c r="A1485" i="21" s="1"/>
  <c r="A1486" i="21" s="1"/>
  <c r="A1487" i="21" s="1"/>
  <c r="A1488" i="21" s="1"/>
  <c r="A1489" i="21" s="1"/>
  <c r="A1490" i="21" s="1"/>
  <c r="A1491" i="21" s="1"/>
  <c r="A1492" i="21" s="1"/>
  <c r="A1493" i="21" s="1"/>
  <c r="A1494" i="21" s="1"/>
  <c r="A1495" i="21" s="1"/>
  <c r="A1496" i="21" s="1"/>
  <c r="A1497" i="21" s="1"/>
  <c r="A1498" i="21" s="1"/>
  <c r="A1499" i="21" s="1"/>
  <c r="A1500" i="21" s="1"/>
  <c r="A1501" i="21" s="1"/>
  <c r="A1502" i="21" s="1"/>
  <c r="A1503" i="21" s="1"/>
  <c r="A1504" i="21" s="1"/>
  <c r="A1505" i="21" s="1"/>
  <c r="A1506" i="21" s="1"/>
  <c r="A1507" i="21" s="1"/>
  <c r="A1508" i="21" s="1"/>
  <c r="A1509" i="21" s="1"/>
  <c r="A1510" i="21" s="1"/>
  <c r="A1511" i="21" s="1"/>
  <c r="A1512" i="21" s="1"/>
  <c r="A1513" i="21" s="1"/>
  <c r="A1514" i="21" s="1"/>
  <c r="A1515" i="21" s="1"/>
  <c r="A1516" i="21" s="1"/>
  <c r="A1517" i="21" s="1"/>
  <c r="A1518" i="21" s="1"/>
  <c r="A1519" i="21" s="1"/>
  <c r="A1520" i="21" s="1"/>
  <c r="A1521" i="21" s="1"/>
  <c r="A1522" i="21" s="1"/>
  <c r="A1523" i="21" s="1"/>
  <c r="A1524" i="21" s="1"/>
  <c r="A1525" i="21" s="1"/>
  <c r="A1526" i="21" s="1"/>
  <c r="A1527" i="21" s="1"/>
  <c r="A1528" i="21" s="1"/>
  <c r="A1529" i="21" s="1"/>
  <c r="A1530" i="21" s="1"/>
  <c r="A1531" i="21" s="1"/>
  <c r="A1532" i="21" s="1"/>
  <c r="A1533" i="21" s="1"/>
  <c r="A1534" i="21" s="1"/>
  <c r="A1535" i="21" s="1"/>
  <c r="A1536" i="21" s="1"/>
  <c r="A1537" i="21" s="1"/>
  <c r="A1538" i="21" s="1"/>
  <c r="A1539" i="21" s="1"/>
  <c r="A1540" i="21" s="1"/>
  <c r="A1541" i="21" s="1"/>
  <c r="A1542" i="21" s="1"/>
  <c r="A1543" i="21" s="1"/>
  <c r="A1544" i="21" s="1"/>
  <c r="A1545" i="21" s="1"/>
  <c r="A1546" i="21" s="1"/>
  <c r="A1547" i="21" s="1"/>
  <c r="A1548" i="21" s="1"/>
  <c r="A1549" i="21" s="1"/>
  <c r="A1550" i="21" s="1"/>
  <c r="A1551" i="21" s="1"/>
  <c r="A1552" i="21" s="1"/>
  <c r="A1553" i="21" s="1"/>
  <c r="A1554" i="21" s="1"/>
  <c r="A1555" i="21" s="1"/>
  <c r="A1556" i="21" s="1"/>
  <c r="A1557" i="21" s="1"/>
  <c r="A1558" i="21" s="1"/>
  <c r="A1559" i="21" s="1"/>
  <c r="A1560" i="21" s="1"/>
  <c r="A1561" i="21" s="1"/>
  <c r="A1562" i="21" s="1"/>
  <c r="A1563" i="21" s="1"/>
  <c r="A1564" i="21" s="1"/>
  <c r="A1565" i="21" s="1"/>
  <c r="A1566" i="21" s="1"/>
  <c r="A1567" i="21" s="1"/>
  <c r="A1568" i="21" s="1"/>
  <c r="A1569" i="21" s="1"/>
  <c r="A1570" i="21" s="1"/>
  <c r="A1571" i="21" s="1"/>
  <c r="A1572" i="21" s="1"/>
  <c r="A1573" i="21" s="1"/>
  <c r="A1574" i="21" s="1"/>
  <c r="A1575" i="21" s="1"/>
  <c r="A1576" i="21" s="1"/>
  <c r="A1577" i="21" s="1"/>
  <c r="A1578" i="21" s="1"/>
  <c r="A1579" i="21" s="1"/>
  <c r="A1580" i="21" s="1"/>
  <c r="A1581" i="21" s="1"/>
  <c r="A1582" i="21" s="1"/>
  <c r="A1583" i="21" s="1"/>
  <c r="A1584" i="21" s="1"/>
  <c r="A1585" i="21" s="1"/>
  <c r="A1586" i="21" s="1"/>
  <c r="A1587" i="21" s="1"/>
  <c r="A1588" i="21" s="1"/>
  <c r="A1589" i="21" s="1"/>
  <c r="A1590" i="21" s="1"/>
  <c r="A1591" i="21" s="1"/>
  <c r="A1592" i="21" s="1"/>
  <c r="A1593" i="21" s="1"/>
  <c r="A1594" i="21" s="1"/>
  <c r="A1595" i="21" s="1"/>
  <c r="A1596" i="21" s="1"/>
  <c r="A1597" i="21" s="1"/>
  <c r="A1598" i="21" s="1"/>
  <c r="A1599" i="21" s="1"/>
  <c r="A1600" i="21" s="1"/>
  <c r="A1601" i="21" s="1"/>
  <c r="A1602" i="21" s="1"/>
  <c r="A1603" i="21" s="1"/>
  <c r="A1604" i="21" s="1"/>
  <c r="A1605" i="21" s="1"/>
  <c r="A1606" i="21" s="1"/>
  <c r="A1607" i="21" s="1"/>
  <c r="A1608" i="21" s="1"/>
  <c r="A1609" i="21" s="1"/>
  <c r="A1610" i="21" s="1"/>
  <c r="A1611" i="21" s="1"/>
  <c r="A1612" i="21" s="1"/>
  <c r="A1613" i="21" s="1"/>
  <c r="A1614" i="21" s="1"/>
  <c r="A1615" i="21" s="1"/>
  <c r="A1616" i="21" s="1"/>
  <c r="A1617" i="21" s="1"/>
  <c r="A1618" i="21" s="1"/>
  <c r="A1619" i="21" s="1"/>
  <c r="A1620" i="21" s="1"/>
  <c r="A1621" i="21" s="1"/>
  <c r="A1622" i="21" s="1"/>
  <c r="A1623" i="21" s="1"/>
  <c r="A1624" i="21" s="1"/>
  <c r="A1625" i="21" s="1"/>
  <c r="A1626" i="21" s="1"/>
  <c r="A1627" i="21" s="1"/>
  <c r="A1628" i="21" s="1"/>
  <c r="A1629" i="21" s="1"/>
  <c r="A1630" i="21" s="1"/>
  <c r="A1631" i="21" s="1"/>
  <c r="A1632" i="21" s="1"/>
  <c r="A1633" i="21" s="1"/>
  <c r="A1634" i="21" s="1"/>
  <c r="A1635" i="21" s="1"/>
  <c r="A1636" i="21" s="1"/>
  <c r="A1637" i="21" s="1"/>
  <c r="A1638" i="21" s="1"/>
  <c r="A1639" i="21" s="1"/>
  <c r="A1640" i="21" s="1"/>
  <c r="A1641" i="21" s="1"/>
  <c r="A1642" i="21" s="1"/>
  <c r="A1643" i="21" s="1"/>
  <c r="A1644" i="21" s="1"/>
  <c r="A1645" i="21" s="1"/>
  <c r="A1646" i="21" s="1"/>
  <c r="A1647" i="21" s="1"/>
  <c r="A1648" i="21" s="1"/>
  <c r="A1649" i="21" s="1"/>
  <c r="A1650" i="21" s="1"/>
  <c r="A1651" i="21" s="1"/>
  <c r="A1652" i="21" s="1"/>
  <c r="A1653" i="21" s="1"/>
  <c r="A1654" i="21" s="1"/>
  <c r="A1655" i="21" s="1"/>
  <c r="A1656" i="21" s="1"/>
  <c r="A1657" i="21" s="1"/>
  <c r="A1658" i="21" s="1"/>
  <c r="A1659" i="21" s="1"/>
  <c r="A1660" i="21" s="1"/>
  <c r="A1661" i="21" s="1"/>
  <c r="A1662" i="21" s="1"/>
  <c r="A1663" i="21" s="1"/>
  <c r="A1664" i="21" s="1"/>
  <c r="A1665" i="21" s="1"/>
  <c r="A1666" i="21" s="1"/>
  <c r="A1667" i="21" s="1"/>
  <c r="A1668" i="21" s="1"/>
  <c r="A1669" i="21" s="1"/>
  <c r="A1670" i="21" s="1"/>
  <c r="A1671" i="21" s="1"/>
  <c r="A1672" i="21" s="1"/>
  <c r="A1673" i="21" s="1"/>
  <c r="A1674" i="21" s="1"/>
  <c r="A1675" i="21" s="1"/>
  <c r="A1676" i="21" s="1"/>
  <c r="A1677" i="21" s="1"/>
  <c r="A1678" i="21" s="1"/>
  <c r="A1679" i="21" s="1"/>
  <c r="A1680" i="21" s="1"/>
  <c r="A1681" i="21" s="1"/>
  <c r="A1682" i="21" s="1"/>
  <c r="A1683" i="21" s="1"/>
  <c r="A1684" i="21" s="1"/>
  <c r="A1685" i="21" s="1"/>
  <c r="A1686" i="21" s="1"/>
  <c r="A1687" i="21" s="1"/>
  <c r="A1688" i="21" s="1"/>
  <c r="A1689" i="21" s="1"/>
  <c r="A1690" i="21" s="1"/>
  <c r="A1691" i="21" s="1"/>
  <c r="A1692" i="21" s="1"/>
  <c r="A1693" i="21" s="1"/>
  <c r="A1694" i="21" s="1"/>
  <c r="A1695" i="21" s="1"/>
  <c r="A1696" i="21" s="1"/>
  <c r="A1697" i="21" s="1"/>
  <c r="A1698" i="21" s="1"/>
  <c r="A1699" i="21" s="1"/>
  <c r="A1700" i="21" s="1"/>
  <c r="A1701" i="21" s="1"/>
  <c r="A1702" i="21" s="1"/>
  <c r="A1703" i="21" s="1"/>
  <c r="A1704" i="21" s="1"/>
  <c r="A1705" i="21" s="1"/>
  <c r="A1706" i="21" s="1"/>
  <c r="A1707" i="21" s="1"/>
  <c r="A1708" i="21" s="1"/>
  <c r="A1709" i="21" s="1"/>
  <c r="A1710" i="21" s="1"/>
  <c r="A1711" i="21" s="1"/>
  <c r="A1712" i="21" s="1"/>
  <c r="A1713" i="21" s="1"/>
  <c r="A1714" i="21" s="1"/>
  <c r="A1715" i="21" s="1"/>
  <c r="A1716" i="21" s="1"/>
  <c r="A1717" i="21" s="1"/>
  <c r="A1718" i="21" s="1"/>
  <c r="A1719" i="21" s="1"/>
  <c r="A1720" i="21" s="1"/>
  <c r="A1721" i="21" s="1"/>
  <c r="A1722" i="21" s="1"/>
  <c r="A1723" i="21" s="1"/>
  <c r="A1724" i="21" s="1"/>
  <c r="A1725" i="21" s="1"/>
  <c r="A1726" i="21" s="1"/>
  <c r="A1727" i="21" s="1"/>
  <c r="A1728" i="21" s="1"/>
  <c r="A1729" i="21" s="1"/>
  <c r="A1730" i="21" s="1"/>
  <c r="A1731" i="21" s="1"/>
  <c r="A1732" i="21" s="1"/>
  <c r="A1733" i="21" s="1"/>
  <c r="A1734" i="21" s="1"/>
  <c r="A1735" i="21" s="1"/>
  <c r="A1736" i="21" s="1"/>
  <c r="A1737" i="21" s="1"/>
  <c r="A1738" i="21" s="1"/>
  <c r="A1739" i="21" s="1"/>
  <c r="A1740" i="21" s="1"/>
  <c r="A1741" i="21" s="1"/>
  <c r="A1742" i="21" s="1"/>
  <c r="A1743" i="21" s="1"/>
  <c r="A1744" i="21" s="1"/>
  <c r="A1745" i="21" s="1"/>
  <c r="A1746" i="21" s="1"/>
  <c r="A1747" i="21" s="1"/>
  <c r="A1748" i="21" s="1"/>
  <c r="A1749" i="21" s="1"/>
  <c r="A1750" i="21" s="1"/>
  <c r="A1751" i="21" s="1"/>
  <c r="A1752" i="21" s="1"/>
  <c r="A1753" i="21" s="1"/>
  <c r="A1754" i="21" s="1"/>
  <c r="A1755" i="21" s="1"/>
  <c r="A1756" i="21" s="1"/>
  <c r="A1757" i="21" s="1"/>
  <c r="A1758" i="21" s="1"/>
  <c r="A1759" i="21" s="1"/>
  <c r="A1760" i="21" s="1"/>
  <c r="A1761" i="21" s="1"/>
  <c r="A1762" i="21" s="1"/>
  <c r="A1763" i="21" s="1"/>
  <c r="A1764" i="21" s="1"/>
  <c r="A1765" i="21" s="1"/>
  <c r="A1766" i="21" s="1"/>
  <c r="A1767" i="21" s="1"/>
  <c r="A1768" i="21" s="1"/>
  <c r="A1769" i="21" s="1"/>
  <c r="A1770" i="21" s="1"/>
  <c r="A1771" i="21" s="1"/>
  <c r="A1772" i="21" s="1"/>
  <c r="A1773" i="21" s="1"/>
  <c r="A1774" i="21" s="1"/>
  <c r="A1775" i="21" s="1"/>
  <c r="A1776" i="21" s="1"/>
  <c r="A1777" i="21" s="1"/>
  <c r="A1778" i="21" s="1"/>
  <c r="A1779" i="21" s="1"/>
  <c r="A1780" i="21" s="1"/>
  <c r="A1781" i="21" s="1"/>
  <c r="A1782" i="21" s="1"/>
  <c r="A1783" i="21" s="1"/>
  <c r="A1784" i="21" s="1"/>
  <c r="A1785" i="21" s="1"/>
  <c r="A1786" i="21" s="1"/>
  <c r="A1787" i="21" s="1"/>
  <c r="A1788" i="21" s="1"/>
  <c r="A1789" i="21" s="1"/>
  <c r="A1790" i="21" s="1"/>
  <c r="A1791" i="21" s="1"/>
  <c r="A1792" i="21" s="1"/>
  <c r="A1793" i="21" s="1"/>
  <c r="A1794" i="21" s="1"/>
  <c r="A1795" i="21" s="1"/>
  <c r="A1796" i="21" s="1"/>
  <c r="A1797" i="21" s="1"/>
  <c r="A1798" i="21" s="1"/>
  <c r="A1799" i="21" s="1"/>
  <c r="A1800" i="21" s="1"/>
  <c r="A1801" i="21" s="1"/>
  <c r="A1802" i="21" s="1"/>
  <c r="A1803" i="21" s="1"/>
  <c r="A1804" i="21" s="1"/>
  <c r="A1805" i="21" s="1"/>
  <c r="A1806" i="21" s="1"/>
  <c r="A1807" i="21" s="1"/>
  <c r="A1808" i="21" s="1"/>
  <c r="A1809" i="21" s="1"/>
  <c r="A1810" i="21" s="1"/>
  <c r="A1811" i="21" s="1"/>
  <c r="A1812" i="21" s="1"/>
  <c r="A1813" i="21" s="1"/>
  <c r="A1814" i="21" s="1"/>
  <c r="A1815" i="21" s="1"/>
  <c r="A1816" i="21" s="1"/>
  <c r="A1817" i="21" s="1"/>
  <c r="A1818" i="21" s="1"/>
  <c r="A1819" i="21" s="1"/>
  <c r="A1820" i="21" s="1"/>
  <c r="A1821" i="21" s="1"/>
  <c r="A1822" i="21" s="1"/>
  <c r="A1823" i="21" s="1"/>
  <c r="A1824" i="21" s="1"/>
  <c r="A1825" i="21" s="1"/>
  <c r="A1826" i="21" s="1"/>
  <c r="A1827" i="21" s="1"/>
  <c r="A1828" i="21" s="1"/>
  <c r="A1829" i="21" s="1"/>
  <c r="A1830" i="21" s="1"/>
  <c r="A1831" i="21" s="1"/>
  <c r="A1832" i="21" s="1"/>
  <c r="A1833" i="21" s="1"/>
  <c r="A1834" i="21" s="1"/>
  <c r="A1835" i="21" s="1"/>
  <c r="A1836" i="21" s="1"/>
  <c r="A1837" i="21" s="1"/>
  <c r="A1838" i="21" s="1"/>
  <c r="A1839" i="21" s="1"/>
  <c r="A1840" i="21" s="1"/>
  <c r="A1841" i="21" s="1"/>
  <c r="A1842" i="21" s="1"/>
  <c r="A1843" i="21" s="1"/>
  <c r="A1844" i="21" s="1"/>
  <c r="A1845" i="21" s="1"/>
  <c r="A1846" i="21" s="1"/>
  <c r="A1847" i="21" s="1"/>
  <c r="A1848" i="21" s="1"/>
  <c r="A1849" i="21" s="1"/>
  <c r="A1850" i="21" s="1"/>
  <c r="A1851" i="21" s="1"/>
  <c r="A1852" i="21" s="1"/>
  <c r="A1853" i="21" s="1"/>
  <c r="A1854" i="21" s="1"/>
  <c r="A1855" i="21" s="1"/>
  <c r="A1856" i="21" s="1"/>
  <c r="A1857" i="21" s="1"/>
  <c r="A1858" i="21" s="1"/>
  <c r="A1859" i="21" s="1"/>
  <c r="A1860" i="21" s="1"/>
  <c r="A1861" i="21" s="1"/>
  <c r="A1862" i="21" s="1"/>
  <c r="A1863" i="21" s="1"/>
  <c r="A1864" i="21" s="1"/>
  <c r="A1865" i="21" s="1"/>
  <c r="A1866" i="21" s="1"/>
  <c r="A1867" i="21" s="1"/>
  <c r="A1868" i="21" s="1"/>
  <c r="A1869" i="21" s="1"/>
  <c r="A1870" i="21" s="1"/>
  <c r="A1871" i="21" s="1"/>
  <c r="A1872" i="21" s="1"/>
  <c r="A1873" i="21" s="1"/>
  <c r="A1874" i="21" s="1"/>
  <c r="A1875" i="21" s="1"/>
  <c r="A1876" i="21" s="1"/>
  <c r="A1877" i="21" s="1"/>
  <c r="A1878" i="21" s="1"/>
  <c r="A1879" i="21" s="1"/>
  <c r="A1880" i="21" s="1"/>
  <c r="A1881" i="21" s="1"/>
  <c r="A1882" i="21" s="1"/>
  <c r="A1883" i="21" s="1"/>
  <c r="A1884" i="21" s="1"/>
  <c r="A1885" i="21" s="1"/>
  <c r="A1886" i="21" s="1"/>
  <c r="A1887" i="21" s="1"/>
  <c r="A1888" i="21" s="1"/>
  <c r="A1889" i="21" s="1"/>
  <c r="A1890" i="21" s="1"/>
  <c r="A1891" i="21" s="1"/>
  <c r="A1892" i="21" s="1"/>
  <c r="A1893" i="21" s="1"/>
  <c r="A1894" i="21" s="1"/>
  <c r="A1895" i="21" s="1"/>
  <c r="A1896" i="21" s="1"/>
  <c r="A1897" i="21" s="1"/>
  <c r="A1898" i="21" s="1"/>
  <c r="A1899" i="21" s="1"/>
  <c r="A1900" i="21" s="1"/>
  <c r="A1901" i="21" s="1"/>
  <c r="A1902" i="21" s="1"/>
  <c r="A1903" i="21" s="1"/>
  <c r="A1904" i="21" s="1"/>
  <c r="A1905" i="21" s="1"/>
  <c r="A1906" i="21" s="1"/>
  <c r="A1907" i="21" s="1"/>
  <c r="A1908" i="21" s="1"/>
  <c r="A1909" i="21" s="1"/>
  <c r="A1910" i="21" s="1"/>
  <c r="A1911" i="21" s="1"/>
  <c r="A1912" i="21" s="1"/>
  <c r="A1913" i="21" s="1"/>
  <c r="A1914" i="21" s="1"/>
  <c r="A1915" i="21" s="1"/>
  <c r="A1916" i="21" s="1"/>
  <c r="A1917" i="21" s="1"/>
  <c r="A1918" i="21" s="1"/>
  <c r="A1919" i="21" s="1"/>
  <c r="A1920" i="21" s="1"/>
  <c r="A1921" i="21" s="1"/>
  <c r="A1922" i="21" s="1"/>
  <c r="A1923" i="21" s="1"/>
  <c r="A1924" i="21" s="1"/>
  <c r="A1925" i="21" s="1"/>
  <c r="A1926" i="21" s="1"/>
  <c r="A1927" i="21" s="1"/>
  <c r="A1928" i="21" s="1"/>
  <c r="A1929" i="21" s="1"/>
  <c r="A1930" i="21" s="1"/>
  <c r="A1931" i="21" s="1"/>
  <c r="A1932" i="21" s="1"/>
  <c r="A1933" i="21" s="1"/>
  <c r="A1934" i="21" s="1"/>
  <c r="A1935" i="21" s="1"/>
  <c r="A1936" i="21" s="1"/>
  <c r="A1937" i="21" s="1"/>
  <c r="A1938" i="21" s="1"/>
  <c r="A1939" i="21" s="1"/>
  <c r="A1940" i="21" s="1"/>
  <c r="A1941" i="21" s="1"/>
  <c r="A1942" i="21" s="1"/>
  <c r="A1943" i="21" s="1"/>
  <c r="A1944" i="21" s="1"/>
  <c r="A1945" i="21" s="1"/>
  <c r="A1946" i="21" s="1"/>
  <c r="A1947" i="21" s="1"/>
  <c r="A1948" i="21" s="1"/>
  <c r="A1949" i="21" s="1"/>
  <c r="A1950" i="21" s="1"/>
  <c r="A1951" i="21" s="1"/>
  <c r="A1952" i="21" s="1"/>
  <c r="A1953" i="21" s="1"/>
  <c r="A1954" i="21" s="1"/>
  <c r="A1955" i="21" s="1"/>
  <c r="A1956" i="21" s="1"/>
  <c r="A1957" i="21" s="1"/>
  <c r="A1958" i="21" s="1"/>
  <c r="A1959" i="21" s="1"/>
  <c r="A1960" i="21" s="1"/>
  <c r="A1961" i="21" s="1"/>
  <c r="A1962" i="21" s="1"/>
  <c r="A1963" i="21" s="1"/>
  <c r="A1964" i="21" s="1"/>
  <c r="A1965" i="21" s="1"/>
  <c r="A1966" i="21" s="1"/>
  <c r="A1967" i="21" s="1"/>
  <c r="A1968" i="21" s="1"/>
  <c r="A1969" i="21" s="1"/>
  <c r="A1970" i="21" s="1"/>
  <c r="A1971" i="21" s="1"/>
  <c r="A1972" i="21" s="1"/>
  <c r="A1973" i="21" s="1"/>
  <c r="A1974" i="21" s="1"/>
  <c r="A1975" i="21" s="1"/>
  <c r="A1976" i="21" s="1"/>
  <c r="A1977" i="21" s="1"/>
  <c r="A1978" i="21" s="1"/>
  <c r="A1979" i="21" s="1"/>
  <c r="A1980" i="21" s="1"/>
  <c r="A1981" i="21" s="1"/>
  <c r="A1982" i="21" s="1"/>
  <c r="A1983" i="21" s="1"/>
  <c r="A1984" i="21" s="1"/>
  <c r="A1985" i="21" s="1"/>
  <c r="A1986" i="21" s="1"/>
  <c r="A1987" i="21" s="1"/>
  <c r="A1988" i="21" s="1"/>
  <c r="A1989" i="21" s="1"/>
  <c r="A1990" i="21" s="1"/>
  <c r="A1991" i="21" s="1"/>
  <c r="A1992" i="21" s="1"/>
  <c r="A1993" i="21" s="1"/>
  <c r="A1994" i="21" s="1"/>
  <c r="A1995" i="21" s="1"/>
  <c r="A1996" i="21" s="1"/>
  <c r="A1997" i="21" s="1"/>
  <c r="A1998" i="21" s="1"/>
  <c r="A1999" i="21" s="1"/>
  <c r="A2000" i="21" s="1"/>
  <c r="A2001" i="21" s="1"/>
  <c r="A2002" i="21" s="1"/>
  <c r="A2003" i="21" s="1"/>
  <c r="A2004" i="21" s="1"/>
  <c r="A2005" i="21" s="1"/>
  <c r="A2006" i="21" s="1"/>
  <c r="A2007" i="21" s="1"/>
  <c r="A2008" i="21" s="1"/>
  <c r="A2009" i="21" s="1"/>
  <c r="A2010" i="21" s="1"/>
  <c r="A2011" i="21" s="1"/>
  <c r="A2012" i="21" s="1"/>
  <c r="A2013" i="21" s="1"/>
  <c r="A2014" i="21" s="1"/>
  <c r="A2015" i="21" s="1"/>
  <c r="A2016" i="21" s="1"/>
  <c r="A2017" i="21" s="1"/>
  <c r="A2018" i="21" s="1"/>
  <c r="A2019" i="21" s="1"/>
  <c r="A2020" i="21" s="1"/>
  <c r="F384" i="20"/>
  <c r="F383" i="20"/>
  <c r="F382" i="20"/>
  <c r="F381" i="20"/>
  <c r="F380" i="20"/>
  <c r="F379" i="20"/>
  <c r="F378" i="20"/>
  <c r="F377" i="20"/>
  <c r="F376" i="20"/>
  <c r="F375" i="20"/>
  <c r="F374" i="20"/>
  <c r="F373" i="20"/>
  <c r="F372" i="20"/>
  <c r="F371" i="20"/>
  <c r="F370" i="20"/>
  <c r="F369" i="20"/>
  <c r="F368" i="20"/>
  <c r="F367" i="20"/>
  <c r="F366" i="20"/>
  <c r="F365" i="20"/>
  <c r="F364" i="20"/>
  <c r="F363" i="20"/>
  <c r="F362" i="20"/>
  <c r="F361" i="20"/>
  <c r="F360" i="20"/>
  <c r="F359" i="20"/>
  <c r="F358" i="20"/>
  <c r="F357" i="20"/>
  <c r="F356" i="20"/>
  <c r="F355" i="20"/>
  <c r="F354" i="20"/>
  <c r="F353" i="20"/>
  <c r="F352" i="20"/>
  <c r="F351" i="20"/>
  <c r="F350" i="20"/>
  <c r="F349" i="20"/>
  <c r="F348" i="20"/>
  <c r="F347" i="20"/>
  <c r="F346" i="20"/>
  <c r="F345" i="20"/>
  <c r="F344" i="20"/>
  <c r="F343" i="20"/>
  <c r="F342" i="20"/>
  <c r="F341" i="20"/>
  <c r="F340" i="20"/>
  <c r="F339" i="20"/>
  <c r="F338" i="20"/>
  <c r="F337" i="20"/>
  <c r="F336" i="20"/>
  <c r="F335" i="20"/>
  <c r="F334" i="20"/>
  <c r="F333" i="20"/>
  <c r="F332" i="20"/>
  <c r="F331" i="20"/>
  <c r="F330" i="20"/>
  <c r="F329" i="20"/>
  <c r="F328" i="20"/>
  <c r="F327" i="20"/>
  <c r="F326" i="20"/>
  <c r="F325" i="20"/>
  <c r="F324" i="20"/>
  <c r="F323" i="20"/>
  <c r="F322" i="20"/>
  <c r="F321" i="20"/>
  <c r="F320" i="20"/>
  <c r="F319" i="20"/>
  <c r="F318" i="20"/>
  <c r="F317" i="20"/>
  <c r="F316" i="20"/>
  <c r="F315" i="20"/>
  <c r="F314" i="20"/>
  <c r="F313" i="20"/>
  <c r="F312" i="20"/>
  <c r="F311" i="20"/>
  <c r="F310" i="20"/>
  <c r="F309" i="20"/>
  <c r="F308" i="20"/>
  <c r="F307" i="20"/>
  <c r="F306" i="20"/>
  <c r="F305" i="20"/>
  <c r="F304" i="20"/>
  <c r="F303" i="20"/>
  <c r="F302" i="20"/>
  <c r="F301" i="20"/>
  <c r="F300" i="20"/>
  <c r="F299" i="20"/>
  <c r="F298" i="20"/>
  <c r="F297" i="20"/>
  <c r="F296" i="20"/>
  <c r="F295" i="20"/>
  <c r="F294" i="20"/>
  <c r="F293" i="20"/>
  <c r="F292" i="20"/>
  <c r="F291" i="20"/>
  <c r="F290" i="20"/>
  <c r="F289" i="20"/>
  <c r="F288" i="20"/>
  <c r="F287" i="20"/>
  <c r="F286" i="20"/>
  <c r="F285" i="20"/>
  <c r="F284" i="20"/>
  <c r="F283" i="20"/>
  <c r="F282" i="20"/>
  <c r="F281" i="20"/>
  <c r="F280" i="20"/>
  <c r="F279" i="20"/>
  <c r="F278" i="20"/>
  <c r="F277" i="20"/>
  <c r="F276" i="20"/>
  <c r="F275" i="20"/>
  <c r="F274" i="20"/>
  <c r="F273" i="20"/>
  <c r="F272" i="20"/>
  <c r="F271" i="20"/>
  <c r="F270" i="20"/>
  <c r="F269" i="20"/>
  <c r="F268" i="20"/>
  <c r="F267" i="20"/>
  <c r="F266" i="20"/>
  <c r="F265" i="20"/>
  <c r="F264" i="20"/>
  <c r="F263" i="20"/>
  <c r="F262" i="20"/>
  <c r="F261" i="20"/>
  <c r="F260" i="20"/>
  <c r="F259" i="20"/>
  <c r="F258" i="20"/>
  <c r="F257" i="20"/>
  <c r="F256" i="20"/>
  <c r="F255" i="20"/>
  <c r="F254" i="20"/>
  <c r="F253" i="20"/>
  <c r="F252" i="20"/>
  <c r="F251" i="20"/>
  <c r="F250" i="20"/>
  <c r="F249" i="20"/>
  <c r="F248" i="20"/>
  <c r="F247" i="20"/>
  <c r="F246" i="20"/>
  <c r="F245" i="20"/>
  <c r="F244" i="20"/>
  <c r="F243" i="20"/>
  <c r="F242" i="20"/>
  <c r="F241" i="20"/>
  <c r="F240" i="20"/>
  <c r="A6" i="20"/>
  <c r="A7" i="20" s="1"/>
  <c r="A8" i="20" s="1"/>
  <c r="A9" i="20" s="1"/>
  <c r="A10" i="20" s="1"/>
  <c r="A11" i="20" s="1"/>
  <c r="A12" i="20" s="1"/>
  <c r="A13" i="20" s="1"/>
  <c r="A14" i="20" s="1"/>
  <c r="A15" i="20" s="1"/>
  <c r="A16" i="20" s="1"/>
  <c r="A17" i="20" s="1"/>
  <c r="A18" i="20" s="1"/>
  <c r="A19" i="20" s="1"/>
  <c r="A20" i="20" s="1"/>
  <c r="A21" i="20" s="1"/>
  <c r="F678" i="7"/>
  <c r="I677" i="7"/>
  <c r="I676" i="7"/>
  <c r="K653" i="7"/>
  <c r="K654" i="7" s="1"/>
  <c r="K655" i="7" s="1"/>
  <c r="M650" i="7"/>
  <c r="I650" i="7"/>
  <c r="G650" i="7"/>
  <c r="G648" i="7"/>
  <c r="T643" i="7"/>
  <c r="P643" i="7"/>
  <c r="T642" i="7"/>
  <c r="P642" i="7"/>
  <c r="T641" i="7"/>
  <c r="R641" i="7"/>
  <c r="Q641" i="7"/>
  <c r="P641" i="7"/>
  <c r="O641" i="7"/>
  <c r="N641" i="7"/>
  <c r="T640" i="7"/>
  <c r="R640" i="7"/>
  <c r="Q640" i="7"/>
  <c r="P640" i="7"/>
  <c r="O640" i="7"/>
  <c r="N640" i="7"/>
  <c r="T639" i="7"/>
  <c r="R639" i="7"/>
  <c r="Q639" i="7"/>
  <c r="O639" i="7"/>
  <c r="N639" i="7"/>
  <c r="P639" i="7"/>
  <c r="R638" i="7"/>
  <c r="O638" i="7"/>
  <c r="N638" i="7"/>
  <c r="Q638" i="7"/>
  <c r="P638" i="7"/>
  <c r="R637" i="7"/>
  <c r="R635" i="7" s="1"/>
  <c r="Q637" i="7"/>
  <c r="Q635" i="7" s="1"/>
  <c r="P637" i="7"/>
  <c r="P635" i="7" s="1"/>
  <c r="O636" i="7"/>
  <c r="N636" i="7"/>
  <c r="L636" i="7"/>
  <c r="K636" i="7"/>
  <c r="R636" i="7" s="1"/>
  <c r="Q636" i="7"/>
  <c r="S636" i="7"/>
  <c r="G630" i="7"/>
  <c r="H630" i="7" s="1"/>
  <c r="I630" i="7" s="1"/>
  <c r="J630" i="7" s="1"/>
  <c r="K630" i="7" s="1"/>
  <c r="G623" i="7"/>
  <c r="G622" i="7"/>
  <c r="G621" i="7"/>
  <c r="G620" i="7"/>
  <c r="U619" i="7"/>
  <c r="G619" i="7"/>
  <c r="G618" i="7"/>
  <c r="G617" i="7"/>
  <c r="G616" i="7"/>
  <c r="G615" i="7"/>
  <c r="H603" i="7"/>
  <c r="F596" i="7"/>
  <c r="I581" i="7"/>
  <c r="F568" i="7"/>
  <c r="F569" i="7" s="1"/>
  <c r="F540" i="7"/>
  <c r="F527" i="7"/>
  <c r="F528" i="7" s="1"/>
  <c r="F529" i="7" s="1"/>
  <c r="F476" i="7"/>
  <c r="F477" i="7" s="1"/>
  <c r="F450" i="7"/>
  <c r="F451" i="7" s="1"/>
  <c r="F452" i="7" s="1"/>
  <c r="F453" i="7" s="1"/>
  <c r="F454" i="7" s="1"/>
  <c r="F455" i="7" s="1"/>
  <c r="F456" i="7" s="1"/>
  <c r="F421" i="7"/>
  <c r="F422" i="7" s="1"/>
  <c r="F423" i="7" s="1"/>
  <c r="F424" i="7" s="1"/>
  <c r="F425" i="7" s="1"/>
  <c r="F426" i="7" s="1"/>
  <c r="F427" i="7" s="1"/>
  <c r="F428" i="7" s="1"/>
  <c r="F429" i="7" s="1"/>
  <c r="F430" i="7" s="1"/>
  <c r="F431" i="7" s="1"/>
  <c r="F432" i="7" s="1"/>
  <c r="F433" i="7" s="1"/>
  <c r="F434" i="7" s="1"/>
  <c r="E408" i="7"/>
  <c r="E409" i="7" s="1"/>
  <c r="E407" i="7"/>
  <c r="F400" i="7"/>
  <c r="J392" i="7" s="1"/>
  <c r="F397" i="7"/>
  <c r="F396" i="7"/>
  <c r="G397" i="7" s="1"/>
  <c r="K393" i="7"/>
  <c r="L393" i="7" s="1"/>
  <c r="M393" i="7" s="1"/>
  <c r="N393" i="7" s="1"/>
  <c r="F395" i="7"/>
  <c r="P389" i="7"/>
  <c r="P390" i="7" s="1"/>
  <c r="P391" i="7" s="1"/>
  <c r="P392" i="7" s="1"/>
  <c r="P393" i="7" s="1"/>
  <c r="N387" i="7"/>
  <c r="N388" i="7" s="1"/>
  <c r="M387" i="7"/>
  <c r="M388" i="7" s="1"/>
  <c r="L387" i="7"/>
  <c r="L388" i="7" s="1"/>
  <c r="K387" i="7"/>
  <c r="K388" i="7" s="1"/>
  <c r="G349" i="7"/>
  <c r="H333" i="7"/>
  <c r="J330" i="7"/>
  <c r="J328" i="7"/>
  <c r="D328" i="7"/>
  <c r="D329" i="7" s="1"/>
  <c r="D330" i="7" s="1"/>
  <c r="D331" i="7" s="1"/>
  <c r="D332" i="7" s="1"/>
  <c r="F325" i="7"/>
  <c r="G325" i="7" s="1"/>
  <c r="H325" i="7" s="1"/>
  <c r="I325" i="7" s="1"/>
  <c r="J325" i="7" s="1"/>
  <c r="E285" i="7"/>
  <c r="U277" i="7"/>
  <c r="F664" i="7" s="1"/>
  <c r="F277" i="7"/>
  <c r="U274" i="7"/>
  <c r="U275" i="7" s="1"/>
  <c r="F274" i="7"/>
  <c r="U272" i="7"/>
  <c r="F202" i="7"/>
  <c r="V183" i="7"/>
  <c r="AE183" i="7"/>
  <c r="G183" i="7"/>
  <c r="F183" i="7"/>
  <c r="V175" i="7"/>
  <c r="AD175" i="7" s="1"/>
  <c r="U175" i="7"/>
  <c r="AE175" i="7" s="1"/>
  <c r="G175" i="7"/>
  <c r="F175" i="7"/>
  <c r="V174" i="7"/>
  <c r="U174" i="7"/>
  <c r="AE174" i="7" s="1"/>
  <c r="G174" i="7"/>
  <c r="F174" i="7"/>
  <c r="V173" i="7"/>
  <c r="U173" i="7"/>
  <c r="AE173" i="7" s="1"/>
  <c r="G173" i="7"/>
  <c r="F173" i="7"/>
  <c r="L173" i="7" s="1"/>
  <c r="V172" i="7"/>
  <c r="U172" i="7"/>
  <c r="AE172" i="7" s="1"/>
  <c r="G172" i="7"/>
  <c r="N172" i="7" s="1"/>
  <c r="F172" i="7"/>
  <c r="AA165" i="7"/>
  <c r="AB163" i="7"/>
  <c r="AD163" i="7" s="1"/>
  <c r="V163" i="7"/>
  <c r="U163" i="7"/>
  <c r="AE163" i="7" s="1"/>
  <c r="F163" i="7"/>
  <c r="P163" i="7" s="1"/>
  <c r="AB162" i="7"/>
  <c r="V162" i="7"/>
  <c r="U162" i="7"/>
  <c r="AE162" i="7" s="1"/>
  <c r="F162" i="7"/>
  <c r="P162" i="7" s="1"/>
  <c r="AB161" i="7"/>
  <c r="AD161" i="7" s="1"/>
  <c r="V161" i="7"/>
  <c r="U161" i="7"/>
  <c r="AE161" i="7" s="1"/>
  <c r="F161" i="7"/>
  <c r="P161" i="7" s="1"/>
  <c r="AB160" i="7"/>
  <c r="AD160" i="7" s="1"/>
  <c r="V160" i="7"/>
  <c r="U160" i="7"/>
  <c r="AE160" i="7" s="1"/>
  <c r="F160" i="7"/>
  <c r="P160" i="7" s="1"/>
  <c r="AB159" i="7"/>
  <c r="AD159" i="7" s="1"/>
  <c r="V159" i="7"/>
  <c r="U159" i="7"/>
  <c r="AE159" i="7" s="1"/>
  <c r="F159" i="7"/>
  <c r="P159" i="7" s="1"/>
  <c r="AB158" i="7"/>
  <c r="AD158" i="7" s="1"/>
  <c r="V158" i="7"/>
  <c r="U158" i="7"/>
  <c r="AE158" i="7" s="1"/>
  <c r="F158" i="7"/>
  <c r="P158" i="7" s="1"/>
  <c r="AB157" i="7"/>
  <c r="V157" i="7"/>
  <c r="U157" i="7"/>
  <c r="AE157" i="7" s="1"/>
  <c r="F157" i="7"/>
  <c r="P157" i="7" s="1"/>
  <c r="AB156" i="7"/>
  <c r="AD156" i="7" s="1"/>
  <c r="V156" i="7"/>
  <c r="U156" i="7"/>
  <c r="AE156" i="7" s="1"/>
  <c r="F156" i="7"/>
  <c r="P156" i="7" s="1"/>
  <c r="AB155" i="7"/>
  <c r="AD155" i="7" s="1"/>
  <c r="V155" i="7"/>
  <c r="U155" i="7"/>
  <c r="AE155" i="7" s="1"/>
  <c r="F155" i="7"/>
  <c r="P155" i="7" s="1"/>
  <c r="AB154" i="7"/>
  <c r="V154" i="7"/>
  <c r="U154" i="7"/>
  <c r="AE154" i="7" s="1"/>
  <c r="F154" i="7"/>
  <c r="P154" i="7" s="1"/>
  <c r="AB153" i="7"/>
  <c r="AD153" i="7" s="1"/>
  <c r="V153" i="7"/>
  <c r="U153" i="7"/>
  <c r="AE153" i="7" s="1"/>
  <c r="F153" i="7"/>
  <c r="P153" i="7" s="1"/>
  <c r="AB152" i="7"/>
  <c r="AD152" i="7" s="1"/>
  <c r="V152" i="7"/>
  <c r="U152" i="7"/>
  <c r="AE152" i="7" s="1"/>
  <c r="F152" i="7"/>
  <c r="P152" i="7" s="1"/>
  <c r="AB151" i="7"/>
  <c r="AD151" i="7" s="1"/>
  <c r="V151" i="7"/>
  <c r="U151" i="7"/>
  <c r="AE151" i="7" s="1"/>
  <c r="N151" i="7"/>
  <c r="F151" i="7"/>
  <c r="P151" i="7" s="1"/>
  <c r="AB145" i="7"/>
  <c r="AD145" i="7" s="1"/>
  <c r="V145" i="7"/>
  <c r="U145" i="7"/>
  <c r="AE145" i="7" s="1"/>
  <c r="N145" i="7"/>
  <c r="F145" i="7"/>
  <c r="P145" i="7" s="1"/>
  <c r="AB144" i="7"/>
  <c r="AD144" i="7" s="1"/>
  <c r="V144" i="7"/>
  <c r="U144" i="7"/>
  <c r="AE144" i="7" s="1"/>
  <c r="F144" i="7"/>
  <c r="P144" i="7" s="1"/>
  <c r="AB143" i="7"/>
  <c r="AD143" i="7" s="1"/>
  <c r="V143" i="7"/>
  <c r="U143" i="7"/>
  <c r="AE143" i="7" s="1"/>
  <c r="F143" i="7"/>
  <c r="P143" i="7" s="1"/>
  <c r="AB142" i="7"/>
  <c r="AD142" i="7" s="1"/>
  <c r="V142" i="7"/>
  <c r="U142" i="7"/>
  <c r="AE142" i="7" s="1"/>
  <c r="F142" i="7"/>
  <c r="P142" i="7" s="1"/>
  <c r="AB141" i="7"/>
  <c r="AD141" i="7" s="1"/>
  <c r="V141" i="7"/>
  <c r="U141" i="7"/>
  <c r="AE141" i="7" s="1"/>
  <c r="F141" i="7"/>
  <c r="P141" i="7" s="1"/>
  <c r="AB140" i="7"/>
  <c r="AD140" i="7" s="1"/>
  <c r="V140" i="7"/>
  <c r="U140" i="7"/>
  <c r="AE140" i="7" s="1"/>
  <c r="F140" i="7"/>
  <c r="P140" i="7" s="1"/>
  <c r="AB139" i="7"/>
  <c r="AD139" i="7" s="1"/>
  <c r="V139" i="7"/>
  <c r="U139" i="7"/>
  <c r="AE139" i="7" s="1"/>
  <c r="F139" i="7"/>
  <c r="P139" i="7" s="1"/>
  <c r="AB138" i="7"/>
  <c r="AD138" i="7" s="1"/>
  <c r="V138" i="7"/>
  <c r="U138" i="7"/>
  <c r="AE138" i="7" s="1"/>
  <c r="F138" i="7"/>
  <c r="P138" i="7" s="1"/>
  <c r="AB137" i="7"/>
  <c r="AD137" i="7" s="1"/>
  <c r="V137" i="7"/>
  <c r="U137" i="7"/>
  <c r="AE137" i="7" s="1"/>
  <c r="F137" i="7"/>
  <c r="P137" i="7" s="1"/>
  <c r="AB136" i="7"/>
  <c r="AD136" i="7" s="1"/>
  <c r="V136" i="7"/>
  <c r="U136" i="7"/>
  <c r="AE136" i="7" s="1"/>
  <c r="F136" i="7"/>
  <c r="P136" i="7" s="1"/>
  <c r="AB135" i="7"/>
  <c r="AD135" i="7" s="1"/>
  <c r="V135" i="7"/>
  <c r="U135" i="7"/>
  <c r="AE135" i="7" s="1"/>
  <c r="F135" i="7"/>
  <c r="P135" i="7" s="1"/>
  <c r="AB134" i="7"/>
  <c r="AD134" i="7" s="1"/>
  <c r="V134" i="7"/>
  <c r="U134" i="7"/>
  <c r="AE134" i="7" s="1"/>
  <c r="F134" i="7"/>
  <c r="P134" i="7" s="1"/>
  <c r="AB133" i="7"/>
  <c r="AD133" i="7" s="1"/>
  <c r="V133" i="7"/>
  <c r="U133" i="7"/>
  <c r="AE133" i="7" s="1"/>
  <c r="F133" i="7"/>
  <c r="P133" i="7" s="1"/>
  <c r="AB132" i="7"/>
  <c r="AD132" i="7" s="1"/>
  <c r="V132" i="7"/>
  <c r="U132" i="7"/>
  <c r="AE132" i="7" s="1"/>
  <c r="F132" i="7"/>
  <c r="P132" i="7" s="1"/>
  <c r="AB131" i="7"/>
  <c r="AD131" i="7" s="1"/>
  <c r="V131" i="7"/>
  <c r="U131" i="7"/>
  <c r="AE131" i="7" s="1"/>
  <c r="F131" i="7"/>
  <c r="P131" i="7" s="1"/>
  <c r="AB130" i="7"/>
  <c r="AD130" i="7" s="1"/>
  <c r="V130" i="7"/>
  <c r="U130" i="7"/>
  <c r="AE130" i="7" s="1"/>
  <c r="F130" i="7"/>
  <c r="P130" i="7" s="1"/>
  <c r="AB129" i="7"/>
  <c r="AD129" i="7" s="1"/>
  <c r="V129" i="7"/>
  <c r="U129" i="7"/>
  <c r="AE129" i="7" s="1"/>
  <c r="F129" i="7"/>
  <c r="P129" i="7" s="1"/>
  <c r="AB128" i="7"/>
  <c r="AD128" i="7" s="1"/>
  <c r="V128" i="7"/>
  <c r="U128" i="7"/>
  <c r="AE128" i="7" s="1"/>
  <c r="F128" i="7"/>
  <c r="P128" i="7" s="1"/>
  <c r="AB127" i="7"/>
  <c r="AD127" i="7" s="1"/>
  <c r="V127" i="7"/>
  <c r="U127" i="7"/>
  <c r="AE127" i="7" s="1"/>
  <c r="F127" i="7"/>
  <c r="P127" i="7" s="1"/>
  <c r="AB126" i="7"/>
  <c r="AD126" i="7" s="1"/>
  <c r="V126" i="7"/>
  <c r="U126" i="7"/>
  <c r="AE126" i="7" s="1"/>
  <c r="F126" i="7"/>
  <c r="P126" i="7" s="1"/>
  <c r="AB125" i="7"/>
  <c r="AD125" i="7" s="1"/>
  <c r="V125" i="7"/>
  <c r="U125" i="7"/>
  <c r="AE125" i="7" s="1"/>
  <c r="F125" i="7"/>
  <c r="P125" i="7" s="1"/>
  <c r="AB124" i="7"/>
  <c r="V124" i="7"/>
  <c r="U124" i="7"/>
  <c r="AE124" i="7" s="1"/>
  <c r="F124" i="7"/>
  <c r="P124" i="7" s="1"/>
  <c r="AB123" i="7"/>
  <c r="V123" i="7"/>
  <c r="U123" i="7"/>
  <c r="AE123" i="7" s="1"/>
  <c r="F123" i="7"/>
  <c r="P123" i="7" s="1"/>
  <c r="AB122" i="7"/>
  <c r="V122" i="7"/>
  <c r="U122" i="7"/>
  <c r="AE122" i="7" s="1"/>
  <c r="F122" i="7"/>
  <c r="P122" i="7" s="1"/>
  <c r="AB121" i="7"/>
  <c r="V121" i="7"/>
  <c r="U121" i="7"/>
  <c r="AE121" i="7" s="1"/>
  <c r="F121" i="7"/>
  <c r="P121" i="7" s="1"/>
  <c r="AB120" i="7"/>
  <c r="V120" i="7"/>
  <c r="U120" i="7"/>
  <c r="AE120" i="7" s="1"/>
  <c r="F120" i="7"/>
  <c r="P120" i="7" s="1"/>
  <c r="AB119" i="7"/>
  <c r="V119" i="7"/>
  <c r="U119" i="7"/>
  <c r="AE119" i="7" s="1"/>
  <c r="F119" i="7"/>
  <c r="P119" i="7" s="1"/>
  <c r="AB118" i="7"/>
  <c r="V118" i="7"/>
  <c r="U118" i="7"/>
  <c r="AE118" i="7" s="1"/>
  <c r="F118" i="7"/>
  <c r="P118" i="7" s="1"/>
  <c r="AB117" i="7"/>
  <c r="V117" i="7"/>
  <c r="U117" i="7"/>
  <c r="AE117" i="7" s="1"/>
  <c r="F117" i="7"/>
  <c r="P117" i="7" s="1"/>
  <c r="AB116" i="7"/>
  <c r="V116" i="7"/>
  <c r="U116" i="7"/>
  <c r="AE116" i="7" s="1"/>
  <c r="F116" i="7"/>
  <c r="P116" i="7" s="1"/>
  <c r="AB115" i="7"/>
  <c r="V115" i="7"/>
  <c r="U115" i="7"/>
  <c r="AE115" i="7" s="1"/>
  <c r="F115" i="7"/>
  <c r="P115" i="7" s="1"/>
  <c r="AB114" i="7"/>
  <c r="V114" i="7"/>
  <c r="U114" i="7"/>
  <c r="AE114" i="7" s="1"/>
  <c r="F114" i="7"/>
  <c r="P114" i="7" s="1"/>
  <c r="AB113" i="7"/>
  <c r="V113" i="7"/>
  <c r="U113" i="7"/>
  <c r="AE113" i="7" s="1"/>
  <c r="F113" i="7"/>
  <c r="P113" i="7" s="1"/>
  <c r="AB112" i="7"/>
  <c r="V112" i="7"/>
  <c r="U112" i="7"/>
  <c r="AE112" i="7" s="1"/>
  <c r="F112" i="7"/>
  <c r="P112" i="7" s="1"/>
  <c r="AB111" i="7"/>
  <c r="V111" i="7"/>
  <c r="U111" i="7"/>
  <c r="AE111" i="7" s="1"/>
  <c r="F111" i="7"/>
  <c r="P111" i="7" s="1"/>
  <c r="AB110" i="7"/>
  <c r="V110" i="7"/>
  <c r="U110" i="7"/>
  <c r="AE110" i="7" s="1"/>
  <c r="F110" i="7"/>
  <c r="P110" i="7" s="1"/>
  <c r="AB109" i="7"/>
  <c r="V109" i="7"/>
  <c r="U109" i="7"/>
  <c r="AE109" i="7" s="1"/>
  <c r="F109" i="7"/>
  <c r="P109" i="7" s="1"/>
  <c r="AB108" i="7"/>
  <c r="V108" i="7"/>
  <c r="U108" i="7"/>
  <c r="AE108" i="7" s="1"/>
  <c r="F108" i="7"/>
  <c r="P108" i="7" s="1"/>
  <c r="AB107" i="7"/>
  <c r="V107" i="7"/>
  <c r="U107" i="7"/>
  <c r="AE107" i="7" s="1"/>
  <c r="F107" i="7"/>
  <c r="P107" i="7" s="1"/>
  <c r="AB106" i="7"/>
  <c r="V106" i="7"/>
  <c r="U106" i="7"/>
  <c r="AE106" i="7" s="1"/>
  <c r="F106" i="7"/>
  <c r="P106" i="7" s="1"/>
  <c r="AB105" i="7"/>
  <c r="V105" i="7"/>
  <c r="U105" i="7"/>
  <c r="AE105" i="7" s="1"/>
  <c r="F105" i="7"/>
  <c r="P105" i="7" s="1"/>
  <c r="C105" i="7"/>
  <c r="C106" i="7" s="1"/>
  <c r="C107" i="7" s="1"/>
  <c r="C108" i="7" s="1"/>
  <c r="C109" i="7" s="1"/>
  <c r="C110" i="7" s="1"/>
  <c r="C111" i="7" s="1"/>
  <c r="C112" i="7" s="1"/>
  <c r="C113" i="7" s="1"/>
  <c r="C114" i="7" s="1"/>
  <c r="C115" i="7" s="1"/>
  <c r="C116" i="7" s="1"/>
  <c r="C117" i="7" s="1"/>
  <c r="C118" i="7" s="1"/>
  <c r="C119" i="7" s="1"/>
  <c r="C120" i="7" s="1"/>
  <c r="C121" i="7" s="1"/>
  <c r="C122" i="7" s="1"/>
  <c r="C123" i="7" s="1"/>
  <c r="C124" i="7" s="1"/>
  <c r="C125" i="7" s="1"/>
  <c r="C126" i="7" s="1"/>
  <c r="C127" i="7" s="1"/>
  <c r="C128" i="7" s="1"/>
  <c r="C129" i="7" s="1"/>
  <c r="C130" i="7" s="1"/>
  <c r="C131" i="7" s="1"/>
  <c r="C132" i="7" s="1"/>
  <c r="C133" i="7" s="1"/>
  <c r="C134" i="7" s="1"/>
  <c r="C135" i="7" s="1"/>
  <c r="C136" i="7" s="1"/>
  <c r="C137" i="7" s="1"/>
  <c r="C138" i="7" s="1"/>
  <c r="C139" i="7" s="1"/>
  <c r="C140" i="7" s="1"/>
  <c r="C141" i="7" s="1"/>
  <c r="C142" i="7" s="1"/>
  <c r="C143" i="7" s="1"/>
  <c r="C144" i="7" s="1"/>
  <c r="C145" i="7" s="1"/>
  <c r="C146" i="7" s="1"/>
  <c r="C147" i="7" s="1"/>
  <c r="C148" i="7" s="1"/>
  <c r="C149" i="7" s="1"/>
  <c r="C150" i="7" s="1"/>
  <c r="C151" i="7" s="1"/>
  <c r="C152" i="7" s="1"/>
  <c r="C153" i="7" s="1"/>
  <c r="C154" i="7" s="1"/>
  <c r="C155" i="7" s="1"/>
  <c r="C156" i="7" s="1"/>
  <c r="C157" i="7" s="1"/>
  <c r="C158" i="7" s="1"/>
  <c r="C159" i="7" s="1"/>
  <c r="C160" i="7" s="1"/>
  <c r="C161" i="7" s="1"/>
  <c r="C162" i="7" s="1"/>
  <c r="C163" i="7" s="1"/>
  <c r="AB104" i="7"/>
  <c r="V104" i="7"/>
  <c r="U104" i="7"/>
  <c r="AE104" i="7" s="1"/>
  <c r="F104" i="7"/>
  <c r="P104" i="7" s="1"/>
  <c r="G103" i="7"/>
  <c r="F103" i="7"/>
  <c r="AA97" i="7"/>
  <c r="AB95" i="7"/>
  <c r="V95" i="7"/>
  <c r="U95" i="7"/>
  <c r="AE95" i="7" s="1"/>
  <c r="G95" i="7"/>
  <c r="F95" i="7"/>
  <c r="P95" i="7" s="1"/>
  <c r="AB94" i="7"/>
  <c r="V94" i="7"/>
  <c r="U94" i="7"/>
  <c r="AE94" i="7" s="1"/>
  <c r="G94" i="7"/>
  <c r="F94" i="7"/>
  <c r="P94" i="7" s="1"/>
  <c r="AB93" i="7"/>
  <c r="V93" i="7"/>
  <c r="U93" i="7"/>
  <c r="AE93" i="7" s="1"/>
  <c r="G93" i="7"/>
  <c r="F93" i="7"/>
  <c r="P93" i="7" s="1"/>
  <c r="AB92" i="7"/>
  <c r="V92" i="7"/>
  <c r="U92" i="7"/>
  <c r="AE92" i="7" s="1"/>
  <c r="G92" i="7"/>
  <c r="F92" i="7"/>
  <c r="P92" i="7" s="1"/>
  <c r="AB91" i="7"/>
  <c r="V91" i="7"/>
  <c r="U91" i="7"/>
  <c r="AE91" i="7" s="1"/>
  <c r="G91" i="7"/>
  <c r="F91" i="7"/>
  <c r="AA85" i="7"/>
  <c r="AB83" i="7"/>
  <c r="AD83" i="7" s="1"/>
  <c r="AB82" i="7"/>
  <c r="AD82" i="7" s="1"/>
  <c r="AB81" i="7"/>
  <c r="AD81" i="7" s="1"/>
  <c r="AB77" i="7"/>
  <c r="AD77" i="7" s="1"/>
  <c r="AB76" i="7"/>
  <c r="AD76" i="7" s="1"/>
  <c r="AB75" i="7"/>
  <c r="G75" i="7"/>
  <c r="F75" i="7"/>
  <c r="AB74" i="7"/>
  <c r="U74" i="7"/>
  <c r="AE74" i="7" s="1"/>
  <c r="G74" i="7"/>
  <c r="F74" i="7"/>
  <c r="C56" i="7"/>
  <c r="O40" i="7"/>
  <c r="J19" i="7"/>
  <c r="AF19" i="7" s="1"/>
  <c r="C4" i="44"/>
  <c r="C3" i="45"/>
  <c r="C2" i="45"/>
  <c r="C1" i="45"/>
  <c r="B1" i="37" s="1"/>
  <c r="O173" i="7" l="1"/>
  <c r="U289" i="7"/>
  <c r="V190" i="7"/>
  <c r="V184" i="7"/>
  <c r="G186" i="7"/>
  <c r="N186" i="7" s="1"/>
  <c r="U185" i="7"/>
  <c r="AE185" i="7" s="1"/>
  <c r="U190" i="7"/>
  <c r="AE190" i="7" s="1"/>
  <c r="U184" i="7"/>
  <c r="AE184" i="7" s="1"/>
  <c r="F186" i="7"/>
  <c r="O186" i="7" s="1"/>
  <c r="V189" i="7"/>
  <c r="G185" i="7"/>
  <c r="N185" i="7" s="1"/>
  <c r="V186" i="7"/>
  <c r="U189" i="7"/>
  <c r="AE189" i="7" s="1"/>
  <c r="F185" i="7"/>
  <c r="G184" i="7"/>
  <c r="N184" i="7" s="1"/>
  <c r="V188" i="7"/>
  <c r="G190" i="7"/>
  <c r="N190" i="7" s="1"/>
  <c r="F189" i="7"/>
  <c r="P189" i="7" s="1"/>
  <c r="U188" i="7"/>
  <c r="AE188" i="7" s="1"/>
  <c r="F190" i="7"/>
  <c r="P190" i="7" s="1"/>
  <c r="F184" i="7"/>
  <c r="G188" i="7"/>
  <c r="N188" i="7" s="1"/>
  <c r="V187" i="7"/>
  <c r="G189" i="7"/>
  <c r="N189" i="7" s="1"/>
  <c r="U187" i="7"/>
  <c r="AE187" i="7" s="1"/>
  <c r="G187" i="7"/>
  <c r="N187" i="7" s="1"/>
  <c r="U186" i="7"/>
  <c r="AE186" i="7" s="1"/>
  <c r="F188" i="7"/>
  <c r="P188" i="7" s="1"/>
  <c r="V185" i="7"/>
  <c r="F187" i="7"/>
  <c r="O187" i="7" s="1"/>
  <c r="U202" i="7"/>
  <c r="AE202" i="7" s="1"/>
  <c r="G202" i="7"/>
  <c r="G201" i="7"/>
  <c r="G200" i="7"/>
  <c r="F663" i="7"/>
  <c r="F280" i="7"/>
  <c r="H278" i="7" s="1"/>
  <c r="F628" i="7"/>
  <c r="A9" i="22"/>
  <c r="A10" i="22" s="1"/>
  <c r="A11" i="22" s="1"/>
  <c r="A12" i="22" s="1"/>
  <c r="A13" i="22" s="1"/>
  <c r="A14" i="22" s="1"/>
  <c r="A15" i="22" s="1"/>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A74" i="22" s="1"/>
  <c r="A75" i="22" s="1"/>
  <c r="A76" i="22" s="1"/>
  <c r="A77" i="22" s="1"/>
  <c r="A78" i="22" s="1"/>
  <c r="A79" i="22" s="1"/>
  <c r="A80" i="22" s="1"/>
  <c r="A81" i="22" s="1"/>
  <c r="A82" i="22" s="1"/>
  <c r="A83" i="22" s="1"/>
  <c r="A84" i="22" s="1"/>
  <c r="A85" i="22" s="1"/>
  <c r="A86" i="22" s="1"/>
  <c r="A87" i="22" s="1"/>
  <c r="A88" i="22" s="1"/>
  <c r="A89" i="22" s="1"/>
  <c r="A90" i="22" s="1"/>
  <c r="A91" i="22" s="1"/>
  <c r="A92" i="22" s="1"/>
  <c r="A93" i="22" s="1"/>
  <c r="A94" i="22" s="1"/>
  <c r="A95" i="22" s="1"/>
  <c r="A96" i="22" s="1"/>
  <c r="A97" i="22" s="1"/>
  <c r="A98" i="22" s="1"/>
  <c r="A99" i="22" s="1"/>
  <c r="A100" i="22" s="1"/>
  <c r="A101" i="22" s="1"/>
  <c r="A102" i="22" s="1"/>
  <c r="A103" i="22" s="1"/>
  <c r="A104" i="22" s="1"/>
  <c r="A105" i="22" s="1"/>
  <c r="A106" i="22" s="1"/>
  <c r="A107" i="22" s="1"/>
  <c r="A108" i="22" s="1"/>
  <c r="A109" i="22" s="1"/>
  <c r="A110" i="22" s="1"/>
  <c r="A111" i="22" s="1"/>
  <c r="A112" i="22" s="1"/>
  <c r="A113" i="22" s="1"/>
  <c r="A114" i="22" s="1"/>
  <c r="A115" i="22" s="1"/>
  <c r="A116" i="22" s="1"/>
  <c r="A117" i="22" s="1"/>
  <c r="A118" i="22" s="1"/>
  <c r="A14" i="27"/>
  <c r="A15" i="27" s="1"/>
  <c r="H468" i="7"/>
  <c r="H467" i="7"/>
  <c r="H465" i="7"/>
  <c r="H463" i="7"/>
  <c r="H469" i="7"/>
  <c r="O728" i="7" s="1"/>
  <c r="H466" i="7"/>
  <c r="H464" i="7"/>
  <c r="H470" i="7"/>
  <c r="H472" i="7"/>
  <c r="R728" i="7" s="1"/>
  <c r="H562" i="7"/>
  <c r="G562" i="7" s="1"/>
  <c r="H561" i="7"/>
  <c r="G561" i="7" s="1"/>
  <c r="H559" i="7"/>
  <c r="G559" i="7" s="1"/>
  <c r="H564" i="7"/>
  <c r="G564" i="7" s="1"/>
  <c r="H560" i="7"/>
  <c r="G560" i="7" s="1"/>
  <c r="H563" i="7"/>
  <c r="G563" i="7" s="1"/>
  <c r="F574" i="7"/>
  <c r="F575" i="7" s="1"/>
  <c r="F576" i="7" s="1"/>
  <c r="F578" i="7" s="1"/>
  <c r="F570" i="7"/>
  <c r="F571" i="7" s="1"/>
  <c r="F572" i="7" s="1"/>
  <c r="J934" i="7"/>
  <c r="N934" i="7" s="1"/>
  <c r="H934" i="7"/>
  <c r="I934" i="7"/>
  <c r="M934" i="7" s="1"/>
  <c r="C197" i="28"/>
  <c r="J927" i="7"/>
  <c r="Z221" i="7" s="1"/>
  <c r="AC221" i="7" s="1"/>
  <c r="I927" i="7"/>
  <c r="W221" i="7" s="1"/>
  <c r="H927" i="7"/>
  <c r="V221" i="7" s="1"/>
  <c r="AE221" i="7" s="1"/>
  <c r="I930" i="7"/>
  <c r="W224" i="7" s="1"/>
  <c r="Y224" i="7" s="1"/>
  <c r="H937" i="7"/>
  <c r="J936" i="7"/>
  <c r="N936" i="7" s="1"/>
  <c r="I937" i="7"/>
  <c r="M937" i="7" s="1"/>
  <c r="I921" i="7"/>
  <c r="I936" i="7"/>
  <c r="M936" i="7" s="1"/>
  <c r="H922" i="7"/>
  <c r="G223" i="7" s="1"/>
  <c r="P223" i="7" s="1"/>
  <c r="H923" i="7"/>
  <c r="H935" i="7"/>
  <c r="J920" i="7"/>
  <c r="K221" i="7" s="1"/>
  <c r="J930" i="7"/>
  <c r="J929" i="7"/>
  <c r="Z223" i="7" s="1"/>
  <c r="AC223" i="7" s="1"/>
  <c r="I928" i="7"/>
  <c r="W222" i="7" s="1"/>
  <c r="Y222" i="7" s="1"/>
  <c r="J935" i="7"/>
  <c r="N935" i="7" s="1"/>
  <c r="I935" i="7"/>
  <c r="M935" i="7" s="1"/>
  <c r="I922" i="7"/>
  <c r="J922" i="7"/>
  <c r="K223" i="7" s="1"/>
  <c r="I920" i="7"/>
  <c r="H928" i="7"/>
  <c r="I929" i="7"/>
  <c r="W223" i="7" s="1"/>
  <c r="Y223" i="7" s="1"/>
  <c r="H921" i="7"/>
  <c r="H920" i="7"/>
  <c r="G221" i="7" s="1"/>
  <c r="J923" i="7"/>
  <c r="K224" i="7" s="1"/>
  <c r="I923" i="7"/>
  <c r="J937" i="7"/>
  <c r="N937" i="7" s="1"/>
  <c r="H930" i="7"/>
  <c r="V224" i="7" s="1"/>
  <c r="AE224" i="7" s="1"/>
  <c r="H936" i="7"/>
  <c r="J921" i="7"/>
  <c r="K222" i="7" s="1"/>
  <c r="J928" i="7"/>
  <c r="H929" i="7"/>
  <c r="A14" i="28"/>
  <c r="A15" i="28" s="1"/>
  <c r="A16" i="28" s="1"/>
  <c r="A17" i="28" s="1"/>
  <c r="A18" i="28" s="1"/>
  <c r="A19" i="28" s="1"/>
  <c r="A20" i="28" s="1"/>
  <c r="A21" i="28" s="1"/>
  <c r="A22" i="28" s="1"/>
  <c r="A23" i="28" s="1"/>
  <c r="A24" i="28" s="1"/>
  <c r="A25" i="28" s="1"/>
  <c r="A26" i="28" s="1"/>
  <c r="A27" i="28" s="1"/>
  <c r="A28" i="28" s="1"/>
  <c r="A29"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G78" i="7"/>
  <c r="N78" i="7" s="1"/>
  <c r="F79" i="7"/>
  <c r="P79" i="7" s="1"/>
  <c r="F78" i="7"/>
  <c r="P78" i="7" s="1"/>
  <c r="G83" i="7"/>
  <c r="N83" i="7" s="1"/>
  <c r="G77" i="7"/>
  <c r="N77" i="7" s="1"/>
  <c r="O77" i="7" s="1"/>
  <c r="F83" i="7"/>
  <c r="P83" i="7" s="1"/>
  <c r="F77" i="7"/>
  <c r="P77" i="7" s="1"/>
  <c r="G82" i="7"/>
  <c r="N82" i="7" s="1"/>
  <c r="F82" i="7"/>
  <c r="P82" i="7" s="1"/>
  <c r="G81" i="7"/>
  <c r="N81" i="7" s="1"/>
  <c r="G79" i="7"/>
  <c r="N79" i="7" s="1"/>
  <c r="F81" i="7"/>
  <c r="P81" i="7" s="1"/>
  <c r="G80" i="7"/>
  <c r="N80" i="7" s="1"/>
  <c r="F80" i="7"/>
  <c r="P80" i="7" s="1"/>
  <c r="H508" i="7"/>
  <c r="G603" i="7"/>
  <c r="H546" i="7"/>
  <c r="L630" i="7"/>
  <c r="N630" i="7" s="1"/>
  <c r="H471" i="7"/>
  <c r="Q728" i="7" s="1"/>
  <c r="P75" i="7"/>
  <c r="F478" i="7"/>
  <c r="F479" i="7" s="1"/>
  <c r="F480" i="7" s="1"/>
  <c r="H410" i="7"/>
  <c r="G410" i="7" s="1"/>
  <c r="F275" i="7"/>
  <c r="P91" i="7"/>
  <c r="P96" i="7" s="1"/>
  <c r="F353" i="7" s="1"/>
  <c r="P103" i="7"/>
  <c r="P183" i="7"/>
  <c r="L183" i="7"/>
  <c r="P202" i="7"/>
  <c r="L202" i="7"/>
  <c r="P174" i="7"/>
  <c r="L174" i="7"/>
  <c r="O174" i="7" s="1"/>
  <c r="P172" i="7"/>
  <c r="L172" i="7"/>
  <c r="O172" i="7" s="1"/>
  <c r="P175" i="7"/>
  <c r="L175" i="7"/>
  <c r="O175" i="7" s="1"/>
  <c r="P173" i="7"/>
  <c r="H592" i="7"/>
  <c r="H417" i="7"/>
  <c r="G417" i="7" s="1"/>
  <c r="H416" i="7"/>
  <c r="G416" i="7" s="1"/>
  <c r="A21" i="23"/>
  <c r="A22" i="23" s="1"/>
  <c r="A23" i="23" s="1"/>
  <c r="A13" i="26"/>
  <c r="A14" i="26" s="1"/>
  <c r="AD91" i="7"/>
  <c r="AD93" i="7"/>
  <c r="AD95" i="7"/>
  <c r="AD92" i="7"/>
  <c r="AD94" i="7"/>
  <c r="N175" i="7"/>
  <c r="N174" i="7"/>
  <c r="P74" i="7"/>
  <c r="N183" i="7"/>
  <c r="A18" i="25"/>
  <c r="A19" i="25" s="1"/>
  <c r="A20" i="25" s="1"/>
  <c r="AC172" i="7"/>
  <c r="AD172" i="7" s="1"/>
  <c r="F80" i="27"/>
  <c r="U210" i="7"/>
  <c r="AE210" i="7" s="1"/>
  <c r="V213" i="7"/>
  <c r="AD213" i="7" s="1"/>
  <c r="F199" i="7"/>
  <c r="F200" i="7"/>
  <c r="F201" i="7"/>
  <c r="V202" i="7"/>
  <c r="AD202" i="7" s="1"/>
  <c r="V200" i="7"/>
  <c r="U199" i="7"/>
  <c r="AE199" i="7" s="1"/>
  <c r="V199" i="7"/>
  <c r="U201" i="7"/>
  <c r="AE201" i="7" s="1"/>
  <c r="N75" i="7"/>
  <c r="O75" i="7" s="1"/>
  <c r="AC91" i="7"/>
  <c r="AC95" i="7"/>
  <c r="N92" i="7"/>
  <c r="AC142" i="7"/>
  <c r="AC144" i="7"/>
  <c r="N95" i="7"/>
  <c r="AC92" i="7"/>
  <c r="H411" i="7"/>
  <c r="H412" i="7"/>
  <c r="H443" i="7"/>
  <c r="G443" i="7" s="1"/>
  <c r="H415" i="7"/>
  <c r="G415" i="7" s="1"/>
  <c r="H413" i="7"/>
  <c r="H444" i="7"/>
  <c r="G444" i="7" s="1"/>
  <c r="H536" i="7"/>
  <c r="G536" i="7" s="1"/>
  <c r="H446" i="7"/>
  <c r="G446" i="7" s="1"/>
  <c r="H523" i="7"/>
  <c r="G523" i="7" s="1"/>
  <c r="H414" i="7"/>
  <c r="G414" i="7" s="1"/>
  <c r="H445" i="7"/>
  <c r="G445" i="7" s="1"/>
  <c r="H522" i="7"/>
  <c r="G522" i="7" s="1"/>
  <c r="G211" i="7"/>
  <c r="G212" i="7"/>
  <c r="G213" i="7"/>
  <c r="U200" i="7"/>
  <c r="AE200" i="7" s="1"/>
  <c r="V201" i="7"/>
  <c r="AD201" i="7" s="1"/>
  <c r="V211" i="7"/>
  <c r="AD211" i="7" s="1"/>
  <c r="F210" i="7"/>
  <c r="V210" i="7"/>
  <c r="U211" i="7"/>
  <c r="AE211" i="7" s="1"/>
  <c r="U212" i="7"/>
  <c r="AE212" i="7" s="1"/>
  <c r="U77" i="7"/>
  <c r="AE77" i="7" s="1"/>
  <c r="V81" i="7"/>
  <c r="AC81" i="7" s="1"/>
  <c r="G210" i="7"/>
  <c r="V212" i="7"/>
  <c r="AD212" i="7" s="1"/>
  <c r="U213" i="7"/>
  <c r="AE213" i="7" s="1"/>
  <c r="F211" i="7"/>
  <c r="F212" i="7"/>
  <c r="F213" i="7"/>
  <c r="V74" i="7"/>
  <c r="AC74" i="7" s="1"/>
  <c r="AD74" i="7" s="1"/>
  <c r="F76" i="7"/>
  <c r="U76" i="7"/>
  <c r="AE76" i="7" s="1"/>
  <c r="V77" i="7"/>
  <c r="AC77" i="7" s="1"/>
  <c r="U82" i="7"/>
  <c r="AE82" i="7" s="1"/>
  <c r="U83" i="7"/>
  <c r="AE83" i="7" s="1"/>
  <c r="F73" i="7"/>
  <c r="U75" i="7"/>
  <c r="AE75" i="7" s="1"/>
  <c r="G76" i="7"/>
  <c r="N76" i="7" s="1"/>
  <c r="V76" i="7"/>
  <c r="AC76" i="7" s="1"/>
  <c r="V82" i="7"/>
  <c r="AC82" i="7" s="1"/>
  <c r="V83" i="7"/>
  <c r="AC83" i="7" s="1"/>
  <c r="G73" i="7"/>
  <c r="V75" i="7"/>
  <c r="AC75" i="7" s="1"/>
  <c r="U81" i="7"/>
  <c r="AE81" i="7" s="1"/>
  <c r="AC133" i="7"/>
  <c r="AC137" i="7"/>
  <c r="N94" i="7"/>
  <c r="N91" i="7"/>
  <c r="AC94" i="7"/>
  <c r="N129" i="7"/>
  <c r="N105" i="7"/>
  <c r="O105" i="7" s="1"/>
  <c r="AC104" i="7"/>
  <c r="AD104" i="7" s="1"/>
  <c r="N143" i="7"/>
  <c r="AC122" i="7"/>
  <c r="AD122" i="7" s="1"/>
  <c r="AC123" i="7"/>
  <c r="AD123" i="7" s="1"/>
  <c r="AC127" i="7"/>
  <c r="N132" i="7"/>
  <c r="N158" i="7"/>
  <c r="AC162" i="7"/>
  <c r="AC136" i="7"/>
  <c r="AC151" i="7"/>
  <c r="AC155" i="7"/>
  <c r="AD162" i="7"/>
  <c r="AC106" i="7"/>
  <c r="AD106" i="7" s="1"/>
  <c r="N113" i="7"/>
  <c r="N117" i="7"/>
  <c r="N121" i="7"/>
  <c r="N161" i="7"/>
  <c r="AC161" i="7"/>
  <c r="AC163" i="7"/>
  <c r="AC93" i="7"/>
  <c r="AC107" i="7"/>
  <c r="AD107" i="7" s="1"/>
  <c r="AC113" i="7"/>
  <c r="AD113" i="7" s="1"/>
  <c r="AC117" i="7"/>
  <c r="AD117" i="7" s="1"/>
  <c r="AC121" i="7"/>
  <c r="AD121" i="7" s="1"/>
  <c r="AC130" i="7"/>
  <c r="N133" i="7"/>
  <c r="N137" i="7"/>
  <c r="AC139" i="7"/>
  <c r="N142" i="7"/>
  <c r="N155" i="7"/>
  <c r="N157" i="7"/>
  <c r="AC174" i="7"/>
  <c r="AD174" i="7" s="1"/>
  <c r="AC183" i="7"/>
  <c r="AD183" i="7" s="1"/>
  <c r="AC120" i="7"/>
  <c r="AD120" i="7" s="1"/>
  <c r="AC131" i="7"/>
  <c r="AC138" i="7"/>
  <c r="N153" i="7"/>
  <c r="AC153" i="7"/>
  <c r="AC158" i="7"/>
  <c r="N159" i="7"/>
  <c r="N111" i="7"/>
  <c r="AC108" i="7"/>
  <c r="AD108" i="7" s="1"/>
  <c r="AC118" i="7"/>
  <c r="AD118" i="7" s="1"/>
  <c r="AC134" i="7"/>
  <c r="AC141" i="7"/>
  <c r="N104" i="7"/>
  <c r="O104" i="7" s="1"/>
  <c r="N108" i="7"/>
  <c r="O108" i="7" s="1"/>
  <c r="N131" i="7"/>
  <c r="AC154" i="7"/>
  <c r="AC105" i="7"/>
  <c r="AD105" i="7" s="1"/>
  <c r="N109" i="7"/>
  <c r="O109" i="7" s="1"/>
  <c r="N112" i="7"/>
  <c r="N115" i="7"/>
  <c r="AC119" i="7"/>
  <c r="AD119" i="7" s="1"/>
  <c r="N120" i="7"/>
  <c r="N124" i="7"/>
  <c r="N127" i="7"/>
  <c r="N130" i="7"/>
  <c r="AC135" i="7"/>
  <c r="N136" i="7"/>
  <c r="N140" i="7"/>
  <c r="N152" i="7"/>
  <c r="AC157" i="7"/>
  <c r="N160" i="7"/>
  <c r="N74" i="7"/>
  <c r="O74" i="7" s="1"/>
  <c r="AE96" i="7"/>
  <c r="AE176" i="7"/>
  <c r="N93" i="7"/>
  <c r="N139" i="7"/>
  <c r="AC126" i="7"/>
  <c r="AC129" i="7"/>
  <c r="AC145" i="7"/>
  <c r="AC173" i="7"/>
  <c r="AD173" i="7" s="1"/>
  <c r="AC114" i="7"/>
  <c r="AD114" i="7" s="1"/>
  <c r="N123" i="7"/>
  <c r="N128" i="7"/>
  <c r="N156" i="7"/>
  <c r="AD157" i="7"/>
  <c r="AC110" i="7"/>
  <c r="AD110" i="7" s="1"/>
  <c r="N107" i="7"/>
  <c r="O107" i="7" s="1"/>
  <c r="AC109" i="7"/>
  <c r="AD109" i="7" s="1"/>
  <c r="N116" i="7"/>
  <c r="N119" i="7"/>
  <c r="N122" i="7"/>
  <c r="N125" i="7"/>
  <c r="AC125" i="7"/>
  <c r="AC128" i="7"/>
  <c r="N135" i="7"/>
  <c r="N138" i="7"/>
  <c r="N141" i="7"/>
  <c r="N144" i="7"/>
  <c r="AD154" i="7"/>
  <c r="AC156" i="7"/>
  <c r="N163" i="7"/>
  <c r="N173" i="7"/>
  <c r="AC175" i="7"/>
  <c r="N103" i="7"/>
  <c r="AE164" i="7"/>
  <c r="N106" i="7"/>
  <c r="O106" i="7" s="1"/>
  <c r="N110" i="7"/>
  <c r="AC111" i="7"/>
  <c r="AD111" i="7" s="1"/>
  <c r="AC112" i="7"/>
  <c r="AD112" i="7" s="1"/>
  <c r="N114" i="7"/>
  <c r="AC115" i="7"/>
  <c r="AD115" i="7" s="1"/>
  <c r="AC116" i="7"/>
  <c r="AD116" i="7" s="1"/>
  <c r="N118" i="7"/>
  <c r="AC124" i="7"/>
  <c r="AD124" i="7" s="1"/>
  <c r="N126" i="7"/>
  <c r="AC132" i="7"/>
  <c r="N134" i="7"/>
  <c r="AC140" i="7"/>
  <c r="AC159" i="7"/>
  <c r="AC143" i="7"/>
  <c r="AC152" i="7"/>
  <c r="N154" i="7"/>
  <c r="AC160" i="7"/>
  <c r="N162" i="7"/>
  <c r="T636" i="7"/>
  <c r="P636" i="7"/>
  <c r="H685" i="7"/>
  <c r="K325" i="7"/>
  <c r="K656" i="7"/>
  <c r="K657" i="7" s="1"/>
  <c r="K658" i="7" s="1"/>
  <c r="K659" i="7" s="1"/>
  <c r="F401" i="7"/>
  <c r="O184" i="7" l="1"/>
  <c r="O202" i="7"/>
  <c r="L188" i="7"/>
  <c r="O188" i="7" s="1"/>
  <c r="O76" i="7"/>
  <c r="O183" i="7"/>
  <c r="O185" i="7"/>
  <c r="L190" i="7"/>
  <c r="O190" i="7" s="1"/>
  <c r="F289" i="7"/>
  <c r="AD186" i="7"/>
  <c r="AC186" i="7"/>
  <c r="AD187" i="7"/>
  <c r="AC187" i="7"/>
  <c r="AD189" i="7"/>
  <c r="AC189" i="7"/>
  <c r="P185" i="7"/>
  <c r="P184" i="7"/>
  <c r="P186" i="7"/>
  <c r="P187" i="7"/>
  <c r="AC185" i="7"/>
  <c r="AD185" i="7"/>
  <c r="AD188" i="7"/>
  <c r="AC188" i="7"/>
  <c r="AD184" i="7"/>
  <c r="AC184" i="7"/>
  <c r="AC190" i="7"/>
  <c r="AD190" i="7"/>
  <c r="P278" i="7"/>
  <c r="J272" i="7"/>
  <c r="AE191" i="7"/>
  <c r="A16" i="27"/>
  <c r="A17" i="27" s="1"/>
  <c r="A15" i="26"/>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L189" i="7"/>
  <c r="O189" i="7" s="1"/>
  <c r="G411" i="7"/>
  <c r="J411" i="7" s="1"/>
  <c r="G371" i="7"/>
  <c r="G412" i="7"/>
  <c r="J412" i="7" s="1"/>
  <c r="G372" i="7"/>
  <c r="G413" i="7"/>
  <c r="I413" i="7" s="1"/>
  <c r="G373" i="7"/>
  <c r="G469" i="7"/>
  <c r="J469" i="7" s="1"/>
  <c r="M938" i="7"/>
  <c r="H642" i="7" s="1"/>
  <c r="N938" i="7"/>
  <c r="G472" i="7"/>
  <c r="J472" i="7" s="1"/>
  <c r="F577" i="7"/>
  <c r="J564" i="7"/>
  <c r="I564" i="7"/>
  <c r="I563" i="7"/>
  <c r="J563" i="7"/>
  <c r="F487" i="7"/>
  <c r="F488" i="7" s="1"/>
  <c r="F489" i="7" s="1"/>
  <c r="F490" i="7" s="1"/>
  <c r="F491" i="7" s="1"/>
  <c r="F492" i="7" s="1"/>
  <c r="F493" i="7" s="1"/>
  <c r="F494" i="7" s="1"/>
  <c r="F495" i="7" s="1"/>
  <c r="F496" i="7" s="1"/>
  <c r="F481" i="7"/>
  <c r="F482" i="7" s="1"/>
  <c r="F483" i="7" s="1"/>
  <c r="F484" i="7" s="1"/>
  <c r="F485" i="7" s="1"/>
  <c r="Z224" i="7"/>
  <c r="AC224" i="7" s="1"/>
  <c r="N221" i="7"/>
  <c r="O221" i="7" s="1"/>
  <c r="G222" i="7"/>
  <c r="P222" i="7" s="1"/>
  <c r="G224" i="7"/>
  <c r="P224" i="7" s="1"/>
  <c r="V222" i="7"/>
  <c r="AE222" i="7" s="1"/>
  <c r="V223" i="7"/>
  <c r="AE223" i="7" s="1"/>
  <c r="H221" i="7"/>
  <c r="Z222" i="7"/>
  <c r="AC222" i="7" s="1"/>
  <c r="N222" i="7"/>
  <c r="H222" i="7"/>
  <c r="J222" i="7" s="1"/>
  <c r="H223" i="7"/>
  <c r="J223" i="7" s="1"/>
  <c r="N223" i="7"/>
  <c r="H224" i="7"/>
  <c r="J224" i="7" s="1"/>
  <c r="N224" i="7"/>
  <c r="A58" i="28"/>
  <c r="A59" i="28" s="1"/>
  <c r="A60" i="28" s="1"/>
  <c r="A61" i="28" s="1"/>
  <c r="A62" i="28" s="1"/>
  <c r="A63" i="28" s="1"/>
  <c r="A64" i="28" s="1"/>
  <c r="A65" i="28" s="1"/>
  <c r="A66" i="28" s="1"/>
  <c r="A67" i="28" s="1"/>
  <c r="A68" i="28" s="1"/>
  <c r="A69" i="28" s="1"/>
  <c r="A70" i="28" s="1"/>
  <c r="A72" i="28" s="1"/>
  <c r="A73" i="28" s="1"/>
  <c r="A74" i="28" s="1"/>
  <c r="A75" i="28" s="1"/>
  <c r="A76" i="28" s="1"/>
  <c r="A77" i="28" s="1"/>
  <c r="A78" i="28" s="1"/>
  <c r="A79" i="28" s="1"/>
  <c r="A80" i="28" s="1"/>
  <c r="A81" i="28" s="1"/>
  <c r="A82" i="28" s="1"/>
  <c r="A83" i="28" s="1"/>
  <c r="A84" i="28" s="1"/>
  <c r="A85" i="28" s="1"/>
  <c r="A86" i="28" s="1"/>
  <c r="A87" i="28" s="1"/>
  <c r="A88" i="28" s="1"/>
  <c r="A89" i="28" s="1"/>
  <c r="A91" i="28" s="1"/>
  <c r="A92" i="28" s="1"/>
  <c r="A93" i="28" s="1"/>
  <c r="A94" i="28" s="1"/>
  <c r="A95" i="28" s="1"/>
  <c r="A96" i="28" s="1"/>
  <c r="A97" i="28" s="1"/>
  <c r="A98" i="28" s="1"/>
  <c r="A99" i="28" s="1"/>
  <c r="A100" i="28" s="1"/>
  <c r="A102" i="28" s="1"/>
  <c r="A103" i="28" s="1"/>
  <c r="A104" i="28" s="1"/>
  <c r="A105" i="28" s="1"/>
  <c r="A106" i="28" s="1"/>
  <c r="A107" i="28" s="1"/>
  <c r="A109" i="28" s="1"/>
  <c r="A110" i="28" s="1"/>
  <c r="A111" i="28" s="1"/>
  <c r="A112" i="28" s="1"/>
  <c r="A113" i="28" s="1"/>
  <c r="A114" i="28" s="1"/>
  <c r="A115" i="28" s="1"/>
  <c r="A116" i="28" s="1"/>
  <c r="A117" i="28" s="1"/>
  <c r="A118" i="28" s="1"/>
  <c r="A119" i="28" s="1"/>
  <c r="A120" i="28" s="1"/>
  <c r="A198" i="28" s="1"/>
  <c r="AD224" i="7"/>
  <c r="A24" i="23"/>
  <c r="A25" i="23" s="1"/>
  <c r="G508" i="7"/>
  <c r="I509" i="7"/>
  <c r="J509" i="7"/>
  <c r="G466" i="7"/>
  <c r="I466" i="7" s="1"/>
  <c r="L728" i="7"/>
  <c r="G464" i="7"/>
  <c r="J464" i="7" s="1"/>
  <c r="J728" i="7"/>
  <c r="G467" i="7"/>
  <c r="J467" i="7" s="1"/>
  <c r="M728" i="7"/>
  <c r="G465" i="7"/>
  <c r="J465" i="7" s="1"/>
  <c r="K728" i="7"/>
  <c r="G470" i="7"/>
  <c r="J470" i="7" s="1"/>
  <c r="P728" i="7"/>
  <c r="G468" i="7"/>
  <c r="J468" i="7" s="1"/>
  <c r="N728" i="7"/>
  <c r="G471" i="7"/>
  <c r="J471" i="7" s="1"/>
  <c r="G463" i="7"/>
  <c r="I463" i="7" s="1"/>
  <c r="I728" i="7"/>
  <c r="J603" i="7"/>
  <c r="L60" i="7" s="1"/>
  <c r="I603" i="7"/>
  <c r="J60" i="7" s="1"/>
  <c r="G592" i="7"/>
  <c r="I559" i="7"/>
  <c r="J559" i="7"/>
  <c r="J560" i="7"/>
  <c r="I560" i="7"/>
  <c r="J562" i="7"/>
  <c r="I562" i="7"/>
  <c r="J561" i="7"/>
  <c r="I561" i="7"/>
  <c r="J536" i="7"/>
  <c r="L56" i="7" s="1"/>
  <c r="I536" i="7"/>
  <c r="J56" i="7" s="1"/>
  <c r="G546" i="7"/>
  <c r="J522" i="7"/>
  <c r="I522" i="7"/>
  <c r="I523" i="7"/>
  <c r="J523" i="7"/>
  <c r="I444" i="7"/>
  <c r="J444" i="7"/>
  <c r="I443" i="7"/>
  <c r="J443" i="7"/>
  <c r="J414" i="7"/>
  <c r="I414" i="7"/>
  <c r="I446" i="7"/>
  <c r="J446" i="7"/>
  <c r="J416" i="7"/>
  <c r="I416" i="7"/>
  <c r="J445" i="7"/>
  <c r="I445" i="7"/>
  <c r="I417" i="7"/>
  <c r="J417" i="7"/>
  <c r="J415" i="7"/>
  <c r="I415" i="7"/>
  <c r="I410" i="7"/>
  <c r="J410" i="7"/>
  <c r="V630" i="7"/>
  <c r="O630" i="7"/>
  <c r="P630" i="7" s="1"/>
  <c r="Q630" i="7" s="1"/>
  <c r="R630" i="7" s="1"/>
  <c r="S630" i="7" s="1"/>
  <c r="T630" i="7" s="1"/>
  <c r="O164" i="7"/>
  <c r="N164" i="7" s="1"/>
  <c r="P176" i="7"/>
  <c r="F355" i="7" s="1"/>
  <c r="G355" i="7" s="1"/>
  <c r="AD75" i="7"/>
  <c r="AD84" i="7" s="1"/>
  <c r="F669" i="7"/>
  <c r="O73" i="7"/>
  <c r="P73" i="7"/>
  <c r="A21" i="25"/>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P213" i="7"/>
  <c r="L213" i="7"/>
  <c r="O213" i="7" s="1"/>
  <c r="P212" i="7"/>
  <c r="L212" i="7"/>
  <c r="O212" i="7" s="1"/>
  <c r="P211" i="7"/>
  <c r="L211" i="7"/>
  <c r="O211" i="7" s="1"/>
  <c r="P201" i="7"/>
  <c r="L201" i="7"/>
  <c r="O201" i="7" s="1"/>
  <c r="P199" i="7"/>
  <c r="L199" i="7"/>
  <c r="P210" i="7"/>
  <c r="L210" i="7"/>
  <c r="P200" i="7"/>
  <c r="L200" i="7"/>
  <c r="O200" i="7" s="1"/>
  <c r="P164" i="7"/>
  <c r="F354" i="7" s="1"/>
  <c r="G354" i="7" s="1"/>
  <c r="I588" i="7"/>
  <c r="N199" i="7"/>
  <c r="AD96" i="7"/>
  <c r="AB96" i="7" s="1"/>
  <c r="I653" i="7" s="1"/>
  <c r="O96" i="7"/>
  <c r="M96" i="7" s="1"/>
  <c r="AC212" i="7"/>
  <c r="Y221" i="7"/>
  <c r="AD221" i="7"/>
  <c r="AD223" i="7"/>
  <c r="AC211" i="7"/>
  <c r="AC199" i="7"/>
  <c r="AD199" i="7" s="1"/>
  <c r="N200" i="7"/>
  <c r="AC213" i="7"/>
  <c r="AD222" i="7"/>
  <c r="N202" i="7"/>
  <c r="N201" i="7"/>
  <c r="N213" i="7"/>
  <c r="N211" i="7"/>
  <c r="N212" i="7"/>
  <c r="AC200" i="7"/>
  <c r="AD200" i="7" s="1"/>
  <c r="AC202" i="7"/>
  <c r="AE203" i="7"/>
  <c r="P76" i="7"/>
  <c r="AD164" i="7"/>
  <c r="AC164" i="7" s="1"/>
  <c r="N73" i="7"/>
  <c r="F668" i="7" s="1"/>
  <c r="L47" i="7"/>
  <c r="L681" i="7" s="1"/>
  <c r="AE214" i="7"/>
  <c r="AC201" i="7"/>
  <c r="AC210" i="7"/>
  <c r="AD210" i="7" s="1"/>
  <c r="N210" i="7"/>
  <c r="AE84" i="7"/>
  <c r="AD176" i="7"/>
  <c r="K660" i="7"/>
  <c r="O199" i="7" l="1"/>
  <c r="O210" i="7"/>
  <c r="P221" i="7"/>
  <c r="P225" i="7" s="1"/>
  <c r="F359" i="7" s="1"/>
  <c r="G359" i="7" s="1"/>
  <c r="AD191" i="7"/>
  <c r="P191" i="7"/>
  <c r="F356" i="7" s="1"/>
  <c r="G356" i="7" s="1"/>
  <c r="O278" i="7"/>
  <c r="U280" i="7"/>
  <c r="W278" i="7" s="1"/>
  <c r="I411" i="7"/>
  <c r="J51" i="7" s="1"/>
  <c r="I412" i="7"/>
  <c r="A18" i="27"/>
  <c r="A19" i="27" s="1"/>
  <c r="A20" i="27" s="1"/>
  <c r="A21" i="27" s="1"/>
  <c r="A22" i="27" s="1"/>
  <c r="A23" i="27" s="1"/>
  <c r="A24" i="27" s="1"/>
  <c r="A25" i="27" s="1"/>
  <c r="A26" i="27" s="1"/>
  <c r="A27" i="27" s="1"/>
  <c r="A28" i="27" s="1"/>
  <c r="A29" i="27" s="1"/>
  <c r="A30" i="27" s="1"/>
  <c r="A31" i="27" s="1"/>
  <c r="A32" i="27" s="1"/>
  <c r="A33" i="27" s="1"/>
  <c r="A34" i="27" s="1"/>
  <c r="A35" i="27" s="1"/>
  <c r="A36" i="27" s="1"/>
  <c r="A37" i="27" s="1"/>
  <c r="J413" i="7"/>
  <c r="G375" i="7"/>
  <c r="F376" i="7" s="1"/>
  <c r="I469" i="7"/>
  <c r="I472" i="7"/>
  <c r="A28" i="23"/>
  <c r="A26" i="23"/>
  <c r="I471" i="7"/>
  <c r="J466" i="7"/>
  <c r="L58" i="7"/>
  <c r="L55" i="7"/>
  <c r="M642" i="7"/>
  <c r="F642" i="7" s="1"/>
  <c r="AE225" i="7"/>
  <c r="J221" i="7"/>
  <c r="A121" i="28"/>
  <c r="A199" i="28" s="1"/>
  <c r="D24" i="28"/>
  <c r="D10" i="28"/>
  <c r="D17" i="28"/>
  <c r="D25" i="28"/>
  <c r="D11" i="28"/>
  <c r="D18" i="28"/>
  <c r="H643" i="7"/>
  <c r="M643" i="7"/>
  <c r="I464" i="7"/>
  <c r="A260" i="25"/>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286" i="25" s="1"/>
  <c r="A287" i="25" s="1"/>
  <c r="A288" i="25" s="1"/>
  <c r="A289" i="25" s="1"/>
  <c r="A290" i="25" s="1"/>
  <c r="A291" i="25" s="1"/>
  <c r="A292" i="25" s="1"/>
  <c r="A293" i="25" s="1"/>
  <c r="A294" i="25" s="1"/>
  <c r="A295" i="25" s="1"/>
  <c r="A296" i="25" s="1"/>
  <c r="A297" i="25" s="1"/>
  <c r="A298" i="25" s="1"/>
  <c r="A299" i="25" s="1"/>
  <c r="A300" i="25" s="1"/>
  <c r="A301" i="25" s="1"/>
  <c r="A302" i="25" s="1"/>
  <c r="A303" i="25" s="1"/>
  <c r="A304" i="25" s="1"/>
  <c r="A305" i="25" s="1"/>
  <c r="A306" i="25" s="1"/>
  <c r="A307" i="25" s="1"/>
  <c r="A308" i="25" s="1"/>
  <c r="A309" i="25" s="1"/>
  <c r="A310" i="25" s="1"/>
  <c r="A311" i="25" s="1"/>
  <c r="A312" i="25" s="1"/>
  <c r="A313" i="25" s="1"/>
  <c r="A314" i="25" s="1"/>
  <c r="A315" i="25" s="1"/>
  <c r="A316" i="25" s="1"/>
  <c r="A317" i="25" s="1"/>
  <c r="A318" i="25" s="1"/>
  <c r="A319" i="25" s="1"/>
  <c r="A320" i="25" s="1"/>
  <c r="A321" i="25" s="1"/>
  <c r="A322" i="25" s="1"/>
  <c r="A323" i="25" s="1"/>
  <c r="A324" i="25" s="1"/>
  <c r="A325" i="25" s="1"/>
  <c r="A326" i="25" s="1"/>
  <c r="A327" i="25" s="1"/>
  <c r="A328" i="25" s="1"/>
  <c r="A329" i="25" s="1"/>
  <c r="A330" i="25" s="1"/>
  <c r="A331" i="25" s="1"/>
  <c r="A332" i="25" s="1"/>
  <c r="A333" i="25" s="1"/>
  <c r="A334" i="25" s="1"/>
  <c r="A335" i="25" s="1"/>
  <c r="A336" i="25" s="1"/>
  <c r="A337" i="25" s="1"/>
  <c r="A338" i="25" s="1"/>
  <c r="A339" i="25" s="1"/>
  <c r="A340" i="25" s="1"/>
  <c r="A341" i="25" s="1"/>
  <c r="A342" i="25" s="1"/>
  <c r="A343" i="25" s="1"/>
  <c r="A344" i="25" s="1"/>
  <c r="A345" i="25" s="1"/>
  <c r="A346" i="25" s="1"/>
  <c r="A347" i="25" s="1"/>
  <c r="A348" i="25" s="1"/>
  <c r="A349" i="25" s="1"/>
  <c r="A350" i="25" s="1"/>
  <c r="A351" i="25" s="1"/>
  <c r="A352" i="25" s="1"/>
  <c r="A353" i="25" s="1"/>
  <c r="A354" i="25" s="1"/>
  <c r="A355" i="25" s="1"/>
  <c r="A356" i="25" s="1"/>
  <c r="A357" i="25" s="1"/>
  <c r="A358" i="25" s="1"/>
  <c r="A359" i="25" s="1"/>
  <c r="A360" i="25" s="1"/>
  <c r="A361" i="25" s="1"/>
  <c r="A362" i="25" s="1"/>
  <c r="A363" i="25" s="1"/>
  <c r="A364" i="25" s="1"/>
  <c r="A365" i="25" s="1"/>
  <c r="A366" i="25" s="1"/>
  <c r="A367" i="25" s="1"/>
  <c r="A368" i="25" s="1"/>
  <c r="A369" i="25" s="1"/>
  <c r="A370" i="25" s="1"/>
  <c r="A371" i="25" s="1"/>
  <c r="A372" i="25" s="1"/>
  <c r="A373" i="25" s="1"/>
  <c r="A374" i="25" s="1"/>
  <c r="A375" i="25" s="1"/>
  <c r="A376" i="25" s="1"/>
  <c r="A377" i="25" s="1"/>
  <c r="A378" i="25" s="1"/>
  <c r="A379" i="25" s="1"/>
  <c r="A380" i="25" s="1"/>
  <c r="A381" i="25" s="1"/>
  <c r="A382" i="25" s="1"/>
  <c r="A383" i="25" s="1"/>
  <c r="A384" i="25" s="1"/>
  <c r="A385" i="25" s="1"/>
  <c r="A386" i="25" s="1"/>
  <c r="A387" i="25" s="1"/>
  <c r="A388" i="25" s="1"/>
  <c r="A389" i="25" s="1"/>
  <c r="A390" i="25" s="1"/>
  <c r="A391" i="25" s="1"/>
  <c r="A392" i="25" s="1"/>
  <c r="A393" i="25" s="1"/>
  <c r="A394" i="25" s="1"/>
  <c r="A395" i="25" s="1"/>
  <c r="A396" i="25" s="1"/>
  <c r="A397" i="25" s="1"/>
  <c r="A398" i="25" s="1"/>
  <c r="A399" i="25" s="1"/>
  <c r="A400" i="25" s="1"/>
  <c r="A401" i="25" s="1"/>
  <c r="A402" i="25" s="1"/>
  <c r="A403" i="25" s="1"/>
  <c r="A404" i="25" s="1"/>
  <c r="A405" i="25" s="1"/>
  <c r="A406" i="25" s="1"/>
  <c r="A407" i="25" s="1"/>
  <c r="A408" i="25" s="1"/>
  <c r="A409" i="25" s="1"/>
  <c r="A410" i="25" s="1"/>
  <c r="A411" i="25" s="1"/>
  <c r="A412" i="25" s="1"/>
  <c r="A413" i="25" s="1"/>
  <c r="A414" i="25" s="1"/>
  <c r="A415" i="25" s="1"/>
  <c r="A416" i="25" s="1"/>
  <c r="A417" i="25" s="1"/>
  <c r="G730" i="7"/>
  <c r="J508" i="7"/>
  <c r="I508" i="7"/>
  <c r="J463" i="7"/>
  <c r="I518" i="7"/>
  <c r="I504" i="7"/>
  <c r="I470" i="7"/>
  <c r="I465" i="7"/>
  <c r="I467" i="7"/>
  <c r="I468" i="7"/>
  <c r="J53" i="7" s="1"/>
  <c r="F745" i="7"/>
  <c r="N745" i="7" s="1"/>
  <c r="N750" i="7" s="1"/>
  <c r="F735" i="7" s="1"/>
  <c r="G733" i="7"/>
  <c r="G729" i="7"/>
  <c r="G731" i="7"/>
  <c r="G732" i="7"/>
  <c r="J592" i="7"/>
  <c r="L59" i="7" s="1"/>
  <c r="I592" i="7"/>
  <c r="J59" i="7" s="1"/>
  <c r="I546" i="7"/>
  <c r="J57" i="7" s="1"/>
  <c r="J546" i="7"/>
  <c r="L57" i="7" s="1"/>
  <c r="L52" i="7"/>
  <c r="I532" i="7"/>
  <c r="I599" i="7"/>
  <c r="A22" i="20"/>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A241" i="20" s="1"/>
  <c r="A242" i="20" s="1"/>
  <c r="A243" i="20" s="1"/>
  <c r="A244" i="20" s="1"/>
  <c r="A245" i="20" s="1"/>
  <c r="A246" i="20" s="1"/>
  <c r="A247" i="20" s="1"/>
  <c r="A248" i="20" s="1"/>
  <c r="A249" i="20" s="1"/>
  <c r="A250" i="20" s="1"/>
  <c r="A251" i="20" s="1"/>
  <c r="A252" i="20" s="1"/>
  <c r="A253" i="20" s="1"/>
  <c r="A254" i="20" s="1"/>
  <c r="A255" i="20" s="1"/>
  <c r="A256" i="20" s="1"/>
  <c r="A257" i="20" s="1"/>
  <c r="A258" i="20" s="1"/>
  <c r="A259" i="20" s="1"/>
  <c r="A260" i="20" s="1"/>
  <c r="A261" i="20" s="1"/>
  <c r="A262" i="20" s="1"/>
  <c r="A263" i="20" s="1"/>
  <c r="A264" i="20" s="1"/>
  <c r="A265" i="20" s="1"/>
  <c r="A266" i="20" s="1"/>
  <c r="A267" i="20" s="1"/>
  <c r="A268" i="20" s="1"/>
  <c r="A269" i="20" s="1"/>
  <c r="A270" i="20" s="1"/>
  <c r="A271" i="20" s="1"/>
  <c r="A272" i="20" s="1"/>
  <c r="A273" i="20" s="1"/>
  <c r="A274" i="20" s="1"/>
  <c r="A275" i="20" s="1"/>
  <c r="A276" i="20" s="1"/>
  <c r="A277" i="20" s="1"/>
  <c r="A278" i="20" s="1"/>
  <c r="A279" i="20" s="1"/>
  <c r="A280" i="20" s="1"/>
  <c r="A281" i="20" s="1"/>
  <c r="A282" i="20" s="1"/>
  <c r="A283" i="20" s="1"/>
  <c r="A284" i="20" s="1"/>
  <c r="A285" i="20" s="1"/>
  <c r="A286" i="20" s="1"/>
  <c r="A287" i="20" s="1"/>
  <c r="A288" i="20" s="1"/>
  <c r="A289" i="20" s="1"/>
  <c r="A290" i="20" s="1"/>
  <c r="A291" i="20" s="1"/>
  <c r="A292" i="20" s="1"/>
  <c r="A293" i="20" s="1"/>
  <c r="A294" i="20" s="1"/>
  <c r="A295" i="20" s="1"/>
  <c r="A296" i="20" s="1"/>
  <c r="A297" i="20" s="1"/>
  <c r="A298" i="20" s="1"/>
  <c r="A299" i="20" s="1"/>
  <c r="A300" i="20" s="1"/>
  <c r="A301" i="20" s="1"/>
  <c r="A302" i="20" s="1"/>
  <c r="A303" i="20" s="1"/>
  <c r="A304" i="20" s="1"/>
  <c r="A305" i="20" s="1"/>
  <c r="A306" i="20" s="1"/>
  <c r="A307" i="20" s="1"/>
  <c r="A308" i="20" s="1"/>
  <c r="A309" i="20" s="1"/>
  <c r="A310" i="20" s="1"/>
  <c r="A311" i="20" s="1"/>
  <c r="A312" i="20" s="1"/>
  <c r="A313" i="20" s="1"/>
  <c r="A314" i="20" s="1"/>
  <c r="A315" i="20" s="1"/>
  <c r="A316" i="20" s="1"/>
  <c r="A317" i="20" s="1"/>
  <c r="A318" i="20" s="1"/>
  <c r="A319" i="20" s="1"/>
  <c r="A320" i="20" s="1"/>
  <c r="A321" i="20" s="1"/>
  <c r="A322" i="20" s="1"/>
  <c r="A323" i="20" s="1"/>
  <c r="A324" i="20" s="1"/>
  <c r="A325" i="20" s="1"/>
  <c r="A326" i="20" s="1"/>
  <c r="A327" i="20" s="1"/>
  <c r="A328" i="20" s="1"/>
  <c r="A329" i="20" s="1"/>
  <c r="A330" i="20" s="1"/>
  <c r="A331" i="20" s="1"/>
  <c r="A332" i="20" s="1"/>
  <c r="A333" i="20" s="1"/>
  <c r="A334" i="20" s="1"/>
  <c r="A335" i="20" s="1"/>
  <c r="A336" i="20" s="1"/>
  <c r="A337" i="20" s="1"/>
  <c r="A338" i="20" s="1"/>
  <c r="A339" i="20" s="1"/>
  <c r="A340" i="20" s="1"/>
  <c r="A341" i="20" s="1"/>
  <c r="A342" i="20" s="1"/>
  <c r="A343" i="20" s="1"/>
  <c r="A344" i="20" s="1"/>
  <c r="A345" i="20" s="1"/>
  <c r="A346" i="20" s="1"/>
  <c r="A347" i="20" s="1"/>
  <c r="A348" i="20" s="1"/>
  <c r="A349" i="20" s="1"/>
  <c r="A350" i="20" s="1"/>
  <c r="A351" i="20" s="1"/>
  <c r="A352" i="20" s="1"/>
  <c r="A353" i="20" s="1"/>
  <c r="A354" i="20" s="1"/>
  <c r="A355" i="20" s="1"/>
  <c r="A356" i="20" s="1"/>
  <c r="A357" i="20" s="1"/>
  <c r="A358" i="20" s="1"/>
  <c r="A359" i="20" s="1"/>
  <c r="A360" i="20" s="1"/>
  <c r="A361" i="20" s="1"/>
  <c r="A362" i="20" s="1"/>
  <c r="A363" i="20" s="1"/>
  <c r="A364" i="20" s="1"/>
  <c r="A365" i="20" s="1"/>
  <c r="A366" i="20" s="1"/>
  <c r="A367" i="20" s="1"/>
  <c r="A368" i="20" s="1"/>
  <c r="A369" i="20" s="1"/>
  <c r="A370" i="20" s="1"/>
  <c r="A371" i="20" s="1"/>
  <c r="A372" i="20" s="1"/>
  <c r="A373" i="20" s="1"/>
  <c r="A374" i="20" s="1"/>
  <c r="A375" i="20" s="1"/>
  <c r="A376" i="20" s="1"/>
  <c r="A377" i="20" s="1"/>
  <c r="A378" i="20" s="1"/>
  <c r="A379" i="20" s="1"/>
  <c r="A380" i="20" s="1"/>
  <c r="A381" i="20" s="1"/>
  <c r="A382" i="20" s="1"/>
  <c r="A383" i="20" s="1"/>
  <c r="A384" i="20" s="1"/>
  <c r="O176" i="7"/>
  <c r="N176" i="7" s="1"/>
  <c r="J52" i="7"/>
  <c r="J58" i="7"/>
  <c r="M30" i="7"/>
  <c r="P214" i="7"/>
  <c r="F358" i="7" s="1"/>
  <c r="G358" i="7" s="1"/>
  <c r="AB84" i="7"/>
  <c r="I652" i="7" s="1"/>
  <c r="AC84" i="7"/>
  <c r="P84" i="7"/>
  <c r="F352" i="7" s="1"/>
  <c r="G352" i="7" s="1"/>
  <c r="P203" i="7"/>
  <c r="F357" i="7" s="1"/>
  <c r="G357" i="7" s="1"/>
  <c r="L51" i="7"/>
  <c r="AC96" i="7"/>
  <c r="AC97" i="7" s="1"/>
  <c r="N96" i="7"/>
  <c r="N30" i="7" s="1"/>
  <c r="AD203" i="7"/>
  <c r="AB203" i="7" s="1"/>
  <c r="I657" i="7" s="1"/>
  <c r="O84" i="7"/>
  <c r="M84" i="7" s="1"/>
  <c r="M29" i="7" s="1"/>
  <c r="H652" i="7" s="1"/>
  <c r="O191" i="7"/>
  <c r="AB164" i="7"/>
  <c r="I654" i="7" s="1"/>
  <c r="G353" i="7"/>
  <c r="I459" i="7"/>
  <c r="I406" i="7"/>
  <c r="AD225" i="7"/>
  <c r="Y225" i="7" s="1"/>
  <c r="AD214" i="7"/>
  <c r="AC214" i="7" s="1"/>
  <c r="I555" i="7"/>
  <c r="AC176" i="7"/>
  <c r="AB176" i="7"/>
  <c r="I655" i="7" s="1"/>
  <c r="AC191" i="7" l="1"/>
  <c r="AB191" i="7"/>
  <c r="A27" i="23"/>
  <c r="A30" i="23" s="1"/>
  <c r="A31" i="23" s="1"/>
  <c r="A32" i="23" s="1"/>
  <c r="A33" i="23" s="1"/>
  <c r="A34" i="23" s="1"/>
  <c r="A35" i="23" s="1"/>
  <c r="A36" i="23" s="1"/>
  <c r="A37" i="23" s="1"/>
  <c r="A38" i="23" s="1"/>
  <c r="A39" i="23" s="1"/>
  <c r="A40" i="23" s="1"/>
  <c r="A41" i="23" s="1"/>
  <c r="A42" i="23" s="1"/>
  <c r="A43" i="23" s="1"/>
  <c r="A44" i="23" s="1"/>
  <c r="A45" i="23" s="1"/>
  <c r="A46" i="23" s="1"/>
  <c r="A47" i="23" s="1"/>
  <c r="A48" i="23" s="1"/>
  <c r="A49" i="23" s="1"/>
  <c r="A50" i="23" s="1"/>
  <c r="A51" i="23" s="1"/>
  <c r="A52" i="23" s="1"/>
  <c r="A53" i="23" s="1"/>
  <c r="A54" i="23" s="1"/>
  <c r="A55" i="23" s="1"/>
  <c r="A56" i="23" s="1"/>
  <c r="A57" i="23" s="1"/>
  <c r="A58" i="23" s="1"/>
  <c r="A59" i="23" s="1"/>
  <c r="A60" i="23" s="1"/>
  <c r="A61" i="23" s="1"/>
  <c r="A62" i="23" s="1"/>
  <c r="A63" i="23" s="1"/>
  <c r="A64" i="23" s="1"/>
  <c r="A65" i="23" s="1"/>
  <c r="A66" i="23" s="1"/>
  <c r="A67" i="23" s="1"/>
  <c r="A68" i="23" s="1"/>
  <c r="A69" i="23" s="1"/>
  <c r="A70" i="23" s="1"/>
  <c r="A71" i="23" s="1"/>
  <c r="A72" i="23" s="1"/>
  <c r="A73" i="23" s="1"/>
  <c r="A74" i="23" s="1"/>
  <c r="A75" i="23" s="1"/>
  <c r="A76" i="23" s="1"/>
  <c r="A77" i="23" s="1"/>
  <c r="A78" i="23" s="1"/>
  <c r="A79" i="23" s="1"/>
  <c r="A80" i="23" s="1"/>
  <c r="A81" i="23" s="1"/>
  <c r="A82" i="23" s="1"/>
  <c r="A83" i="23" s="1"/>
  <c r="A84" i="23" s="1"/>
  <c r="A85" i="23" s="1"/>
  <c r="A86" i="23" s="1"/>
  <c r="A87" i="23" s="1"/>
  <c r="A88" i="23" s="1"/>
  <c r="A89" i="23" s="1"/>
  <c r="A90" i="23" s="1"/>
  <c r="A91" i="23" s="1"/>
  <c r="A92" i="23" s="1"/>
  <c r="A93" i="23" s="1"/>
  <c r="A94" i="23" s="1"/>
  <c r="A95" i="23" s="1"/>
  <c r="A96" i="23" s="1"/>
  <c r="A97" i="23" s="1"/>
  <c r="A98" i="23" s="1"/>
  <c r="A99" i="23" s="1"/>
  <c r="A100" i="23" s="1"/>
  <c r="A101" i="23" s="1"/>
  <c r="A102" i="23" s="1"/>
  <c r="A103" i="23" s="1"/>
  <c r="A104" i="23" s="1"/>
  <c r="A105" i="23" s="1"/>
  <c r="A106" i="23" s="1"/>
  <c r="A107" i="23" s="1"/>
  <c r="A108" i="23" s="1"/>
  <c r="A109" i="23" s="1"/>
  <c r="A110" i="23" s="1"/>
  <c r="A111" i="23" s="1"/>
  <c r="A112" i="23" s="1"/>
  <c r="A113" i="23" s="1"/>
  <c r="A114" i="23" s="1"/>
  <c r="A115" i="23" s="1"/>
  <c r="A116" i="23" s="1"/>
  <c r="A117" i="23" s="1"/>
  <c r="A118" i="23" s="1"/>
  <c r="A119" i="23" s="1"/>
  <c r="A120" i="23" s="1"/>
  <c r="A121" i="23" s="1"/>
  <c r="A122" i="23" s="1"/>
  <c r="A123" i="23" s="1"/>
  <c r="A124" i="23" s="1"/>
  <c r="A125" i="23" s="1"/>
  <c r="A126" i="23" s="1"/>
  <c r="A127" i="23" s="1"/>
  <c r="A128" i="23" s="1"/>
  <c r="A129" i="23" s="1"/>
  <c r="A130" i="23" s="1"/>
  <c r="A131" i="23" s="1"/>
  <c r="A132" i="23" s="1"/>
  <c r="A133" i="23" s="1"/>
  <c r="A134" i="23" s="1"/>
  <c r="A135" i="23" s="1"/>
  <c r="A136" i="23" s="1"/>
  <c r="A137" i="23" s="1"/>
  <c r="A138" i="23" s="1"/>
  <c r="A139" i="23" s="1"/>
  <c r="A140" i="23" s="1"/>
  <c r="A141" i="23" s="1"/>
  <c r="A142" i="23" s="1"/>
  <c r="A143" i="23" s="1"/>
  <c r="A144" i="23" s="1"/>
  <c r="A145" i="23" s="1"/>
  <c r="A146" i="23" s="1"/>
  <c r="A147" i="23" s="1"/>
  <c r="A148" i="23" s="1"/>
  <c r="A149" i="23" s="1"/>
  <c r="A150" i="23" s="1"/>
  <c r="A151" i="23" s="1"/>
  <c r="A152" i="23" s="1"/>
  <c r="A153" i="23" s="1"/>
  <c r="A154" i="23" s="1"/>
  <c r="A155" i="23" s="1"/>
  <c r="A156" i="23" s="1"/>
  <c r="A157" i="23" s="1"/>
  <c r="A158" i="23" s="1"/>
  <c r="A159" i="23" s="1"/>
  <c r="A160" i="23" s="1"/>
  <c r="A161" i="23" s="1"/>
  <c r="A162" i="23" s="1"/>
  <c r="A163" i="23" s="1"/>
  <c r="A164" i="23" s="1"/>
  <c r="A165" i="23" s="1"/>
  <c r="A166" i="23" s="1"/>
  <c r="A167" i="23" s="1"/>
  <c r="A168" i="23" s="1"/>
  <c r="A169" i="23" s="1"/>
  <c r="A170" i="23" s="1"/>
  <c r="A171" i="23" s="1"/>
  <c r="A172" i="23" s="1"/>
  <c r="A173" i="23" s="1"/>
  <c r="A174" i="23" s="1"/>
  <c r="A175" i="23" s="1"/>
  <c r="A176" i="23" s="1"/>
  <c r="A177" i="23" s="1"/>
  <c r="A178" i="23" s="1"/>
  <c r="A179" i="23" s="1"/>
  <c r="A180" i="23" s="1"/>
  <c r="A181" i="23" s="1"/>
  <c r="A182" i="23" s="1"/>
  <c r="A183" i="23" s="1"/>
  <c r="A184" i="23" s="1"/>
  <c r="A185" i="23" s="1"/>
  <c r="A186" i="23" s="1"/>
  <c r="A187" i="23" s="1"/>
  <c r="A188" i="23" s="1"/>
  <c r="A189" i="23" s="1"/>
  <c r="A190" i="23" s="1"/>
  <c r="A191" i="23" s="1"/>
  <c r="A192" i="23" s="1"/>
  <c r="A193" i="23" s="1"/>
  <c r="A194" i="23" s="1"/>
  <c r="A195" i="23" s="1"/>
  <c r="A196" i="23" s="1"/>
  <c r="A197" i="23" s="1"/>
  <c r="A198" i="23" s="1"/>
  <c r="A199" i="23" s="1"/>
  <c r="A200" i="23" s="1"/>
  <c r="A201" i="23" s="1"/>
  <c r="A202" i="23" s="1"/>
  <c r="A203" i="23" s="1"/>
  <c r="A204" i="23" s="1"/>
  <c r="A205" i="23" s="1"/>
  <c r="A206" i="23" s="1"/>
  <c r="A207" i="23" s="1"/>
  <c r="A208" i="23" s="1"/>
  <c r="A209" i="23" s="1"/>
  <c r="A210" i="23" s="1"/>
  <c r="A211" i="23" s="1"/>
  <c r="A212" i="23" s="1"/>
  <c r="A213" i="23" s="1"/>
  <c r="A214" i="23" s="1"/>
  <c r="A215" i="23" s="1"/>
  <c r="A216" i="23" s="1"/>
  <c r="A217" i="23" s="1"/>
  <c r="A218" i="23" s="1"/>
  <c r="A219" i="23" s="1"/>
  <c r="A220" i="23" s="1"/>
  <c r="A221" i="23" s="1"/>
  <c r="A222" i="23" s="1"/>
  <c r="A223" i="23" s="1"/>
  <c r="A224" i="23" s="1"/>
  <c r="A225" i="23" s="1"/>
  <c r="A226" i="23" s="1"/>
  <c r="A227" i="23" s="1"/>
  <c r="A228" i="23" s="1"/>
  <c r="A229" i="23" s="1"/>
  <c r="A230" i="23" s="1"/>
  <c r="A231" i="23" s="1"/>
  <c r="A232" i="23" s="1"/>
  <c r="A233" i="23" s="1"/>
  <c r="A234" i="23" s="1"/>
  <c r="A235" i="23" s="1"/>
  <c r="A236" i="23" s="1"/>
  <c r="A237" i="23" s="1"/>
  <c r="A238" i="23" s="1"/>
  <c r="A239" i="23" s="1"/>
  <c r="A240" i="23" s="1"/>
  <c r="A241" i="23" s="1"/>
  <c r="A242" i="23" s="1"/>
  <c r="A243" i="23" s="1"/>
  <c r="A244" i="23" s="1"/>
  <c r="A245" i="23" s="1"/>
  <c r="A246" i="23" s="1"/>
  <c r="A247" i="23" s="1"/>
  <c r="A248" i="23" s="1"/>
  <c r="A249" i="23" s="1"/>
  <c r="A250" i="23" s="1"/>
  <c r="A251" i="23" s="1"/>
  <c r="A252" i="23" s="1"/>
  <c r="A253" i="23" s="1"/>
  <c r="A254" i="23" s="1"/>
  <c r="A255" i="23" s="1"/>
  <c r="A256" i="23" s="1"/>
  <c r="A257" i="23" s="1"/>
  <c r="A258" i="23" s="1"/>
  <c r="A259" i="23" s="1"/>
  <c r="A260" i="23" s="1"/>
  <c r="A261" i="23" s="1"/>
  <c r="A262" i="23" s="1"/>
  <c r="A263" i="23" s="1"/>
  <c r="A264" i="23" s="1"/>
  <c r="A265" i="23" s="1"/>
  <c r="A266" i="23" s="1"/>
  <c r="A267" i="23" s="1"/>
  <c r="A268" i="23" s="1"/>
  <c r="A269" i="23" s="1"/>
  <c r="A270" i="23" s="1"/>
  <c r="A271" i="23" s="1"/>
  <c r="A272" i="23" s="1"/>
  <c r="A273" i="23" s="1"/>
  <c r="A274" i="23" s="1"/>
  <c r="A275" i="23" s="1"/>
  <c r="A276" i="23" s="1"/>
  <c r="A277" i="23" s="1"/>
  <c r="A278" i="23" s="1"/>
  <c r="A279" i="23" s="1"/>
  <c r="A280" i="23" s="1"/>
  <c r="A281" i="23" s="1"/>
  <c r="A282" i="23" s="1"/>
  <c r="A283" i="23" s="1"/>
  <c r="A284" i="23" s="1"/>
  <c r="A285" i="23" s="1"/>
  <c r="A286" i="23" s="1"/>
  <c r="A287" i="23" s="1"/>
  <c r="A288" i="23" s="1"/>
  <c r="A289" i="23" s="1"/>
  <c r="A290" i="23" s="1"/>
  <c r="A291" i="23" s="1"/>
  <c r="A292" i="23" s="1"/>
  <c r="A293" i="23" s="1"/>
  <c r="A294" i="23" s="1"/>
  <c r="A295" i="23" s="1"/>
  <c r="A296" i="23" s="1"/>
  <c r="A297" i="23" s="1"/>
  <c r="A298" i="23" s="1"/>
  <c r="A299" i="23" s="1"/>
  <c r="A300" i="23" s="1"/>
  <c r="A301" i="23" s="1"/>
  <c r="A302" i="23" s="1"/>
  <c r="A303" i="23" s="1"/>
  <c r="A304" i="23" s="1"/>
  <c r="A305" i="23" s="1"/>
  <c r="A306" i="23" s="1"/>
  <c r="A307" i="23" s="1"/>
  <c r="A308" i="23" s="1"/>
  <c r="A309" i="23" s="1"/>
  <c r="A310" i="23" s="1"/>
  <c r="A311" i="23" s="1"/>
  <c r="A312" i="23" s="1"/>
  <c r="A313" i="23" s="1"/>
  <c r="A314" i="23" s="1"/>
  <c r="A315" i="23" s="1"/>
  <c r="A316" i="23" s="1"/>
  <c r="A317" i="23" s="1"/>
  <c r="A318" i="23" s="1"/>
  <c r="A319" i="23" s="1"/>
  <c r="A320" i="23" s="1"/>
  <c r="A321" i="23" s="1"/>
  <c r="A322" i="23" s="1"/>
  <c r="A323" i="23" s="1"/>
  <c r="A324" i="23" s="1"/>
  <c r="A325" i="23" s="1"/>
  <c r="A326" i="23" s="1"/>
  <c r="A327" i="23" s="1"/>
  <c r="A328" i="23" s="1"/>
  <c r="A329" i="23" s="1"/>
  <c r="A330" i="23" s="1"/>
  <c r="A331" i="23" s="1"/>
  <c r="A332" i="23" s="1"/>
  <c r="A333" i="23" s="1"/>
  <c r="A334" i="23" s="1"/>
  <c r="A335" i="23" s="1"/>
  <c r="A336" i="23" s="1"/>
  <c r="A337" i="23" s="1"/>
  <c r="A338" i="23" s="1"/>
  <c r="A339" i="23" s="1"/>
  <c r="A340" i="23" s="1"/>
  <c r="A341" i="23" s="1"/>
  <c r="A342" i="23" s="1"/>
  <c r="A343" i="23" s="1"/>
  <c r="A344" i="23" s="1"/>
  <c r="A345" i="23" s="1"/>
  <c r="A346" i="23" s="1"/>
  <c r="A347" i="23" s="1"/>
  <c r="A348" i="23" s="1"/>
  <c r="A349" i="23" s="1"/>
  <c r="A350" i="23" s="1"/>
  <c r="A351" i="23" s="1"/>
  <c r="A352" i="23" s="1"/>
  <c r="A353" i="23" s="1"/>
  <c r="A354" i="23" s="1"/>
  <c r="A355" i="23" s="1"/>
  <c r="A356" i="23" s="1"/>
  <c r="A357" i="23" s="1"/>
  <c r="A358" i="23" s="1"/>
  <c r="A359" i="23" s="1"/>
  <c r="A360" i="23" s="1"/>
  <c r="A361" i="23" s="1"/>
  <c r="A362" i="23" s="1"/>
  <c r="A363" i="23" s="1"/>
  <c r="A364" i="23" s="1"/>
  <c r="A365" i="23" s="1"/>
  <c r="A366" i="23" s="1"/>
  <c r="A367" i="23" s="1"/>
  <c r="A368" i="23" s="1"/>
  <c r="A369" i="23" s="1"/>
  <c r="A370" i="23" s="1"/>
  <c r="A371" i="23" s="1"/>
  <c r="A372" i="23" s="1"/>
  <c r="A373" i="23" s="1"/>
  <c r="A374" i="23" s="1"/>
  <c r="A375" i="23" s="1"/>
  <c r="A376" i="23" s="1"/>
  <c r="A377" i="23" s="1"/>
  <c r="A378" i="23" s="1"/>
  <c r="A379" i="23" s="1"/>
  <c r="A29" i="23"/>
  <c r="AC177" i="7"/>
  <c r="N32" i="7"/>
  <c r="M191" i="7"/>
  <c r="N191" i="7"/>
  <c r="N33" i="7" s="1"/>
  <c r="AC166" i="7"/>
  <c r="F328" i="7"/>
  <c r="J652" i="7"/>
  <c r="G652" i="7"/>
  <c r="M652" i="7" s="1"/>
  <c r="J653" i="7"/>
  <c r="G653" i="7"/>
  <c r="A38" i="27"/>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O203" i="7"/>
  <c r="N203" i="7" s="1"/>
  <c r="O214" i="7"/>
  <c r="N214" i="7" s="1"/>
  <c r="O642" i="7"/>
  <c r="N642" i="7"/>
  <c r="F643" i="7"/>
  <c r="O643" i="7" s="1"/>
  <c r="L53" i="7"/>
  <c r="O225" i="7"/>
  <c r="N225" i="7" s="1"/>
  <c r="A122" i="28"/>
  <c r="A200" i="28" s="1"/>
  <c r="G635" i="7"/>
  <c r="H615" i="7" s="1"/>
  <c r="M176" i="7"/>
  <c r="M32" i="7" s="1"/>
  <c r="J655" i="7" s="1"/>
  <c r="K30" i="7"/>
  <c r="O30" i="7" s="1"/>
  <c r="J30" i="7" s="1"/>
  <c r="AC85" i="7"/>
  <c r="A418" i="25"/>
  <c r="A419" i="25" s="1"/>
  <c r="A420" i="25" s="1"/>
  <c r="A421" i="25" s="1"/>
  <c r="A422" i="25" s="1"/>
  <c r="A423" i="25" s="1"/>
  <c r="A424" i="25" s="1"/>
  <c r="A425" i="25" s="1"/>
  <c r="A426" i="25" s="1"/>
  <c r="A427" i="25" s="1"/>
  <c r="A428" i="25" s="1"/>
  <c r="A429" i="25" s="1"/>
  <c r="A430" i="25" s="1"/>
  <c r="A431" i="25" s="1"/>
  <c r="A432" i="25" s="1"/>
  <c r="F363" i="7"/>
  <c r="G636" i="7"/>
  <c r="F30" i="7" s="1"/>
  <c r="F360" i="7"/>
  <c r="G360" i="7" s="1"/>
  <c r="G363" i="7" s="1"/>
  <c r="N97" i="7"/>
  <c r="O97" i="7" s="1"/>
  <c r="AC203" i="7"/>
  <c r="N84" i="7"/>
  <c r="AC165" i="7"/>
  <c r="G637" i="7" s="1"/>
  <c r="X225" i="7"/>
  <c r="I659" i="7" s="1"/>
  <c r="AB214" i="7"/>
  <c r="I658" i="7" s="1"/>
  <c r="G638" i="7"/>
  <c r="G639" i="7" l="1"/>
  <c r="H619" i="7" s="1"/>
  <c r="AC193" i="7"/>
  <c r="AB192" i="7"/>
  <c r="I656" i="7"/>
  <c r="N193" i="7"/>
  <c r="N37" i="7"/>
  <c r="Y226" i="7"/>
  <c r="N35" i="7"/>
  <c r="AC215" i="7"/>
  <c r="G640" i="7"/>
  <c r="F34" i="7" s="1"/>
  <c r="AC204" i="7"/>
  <c r="N34" i="7"/>
  <c r="N177" i="7"/>
  <c r="N29" i="7"/>
  <c r="K29" i="7" s="1"/>
  <c r="O29" i="7" s="1"/>
  <c r="J29" i="7" s="1"/>
  <c r="N85" i="7"/>
  <c r="M33" i="7"/>
  <c r="K33" i="7" s="1"/>
  <c r="H653" i="7"/>
  <c r="M653" i="7" s="1"/>
  <c r="G30" i="7" s="1"/>
  <c r="I616" i="7" s="1"/>
  <c r="F29" i="7"/>
  <c r="F330" i="7"/>
  <c r="F333" i="7" s="1"/>
  <c r="K328" i="7"/>
  <c r="K330" i="7"/>
  <c r="F379" i="7"/>
  <c r="F381" i="7" s="1"/>
  <c r="G347" i="7" s="1"/>
  <c r="L84" i="7" s="1"/>
  <c r="G29" i="7"/>
  <c r="I615" i="7" s="1"/>
  <c r="M203" i="7"/>
  <c r="M34" i="7" s="1"/>
  <c r="G657" i="7" s="1"/>
  <c r="H657" i="7" s="1"/>
  <c r="M214" i="7"/>
  <c r="M35" i="7" s="1"/>
  <c r="J658" i="7" s="1"/>
  <c r="N643" i="7"/>
  <c r="K32" i="7"/>
  <c r="J61" i="7"/>
  <c r="N47" i="7" s="1"/>
  <c r="I225" i="7"/>
  <c r="M36" i="7" s="1"/>
  <c r="G659" i="7" s="1"/>
  <c r="H659" i="7" s="1"/>
  <c r="J225" i="7"/>
  <c r="AB225" i="7"/>
  <c r="I660" i="7" s="1"/>
  <c r="AC225" i="7"/>
  <c r="M225" i="7"/>
  <c r="M37" i="7" s="1"/>
  <c r="G660" i="7" s="1"/>
  <c r="H660" i="7" s="1"/>
  <c r="A123" i="28"/>
  <c r="A201" i="28" s="1"/>
  <c r="D636" i="7"/>
  <c r="H696" i="7"/>
  <c r="G655" i="7"/>
  <c r="P97" i="7"/>
  <c r="A433" i="25"/>
  <c r="A434" i="25" s="1"/>
  <c r="A435" i="25" s="1"/>
  <c r="A436" i="25" s="1"/>
  <c r="A437" i="25" s="1"/>
  <c r="A438" i="25" s="1"/>
  <c r="A439" i="25" s="1"/>
  <c r="A440" i="25" s="1"/>
  <c r="A441" i="25" s="1"/>
  <c r="A442" i="25" s="1"/>
  <c r="A443" i="25" s="1"/>
  <c r="A444" i="25" s="1"/>
  <c r="A445" i="25" s="1"/>
  <c r="A446" i="25" s="1"/>
  <c r="A447" i="25" s="1"/>
  <c r="A448" i="25" s="1"/>
  <c r="A449" i="25" s="1"/>
  <c r="A450" i="25" s="1"/>
  <c r="A451" i="25" s="1"/>
  <c r="A452" i="25" s="1"/>
  <c r="A453" i="25" s="1"/>
  <c r="A454" i="25" s="1"/>
  <c r="A455" i="25" s="1"/>
  <c r="A456" i="25" s="1"/>
  <c r="A457" i="25" s="1"/>
  <c r="A458" i="25" s="1"/>
  <c r="A459" i="25" s="1"/>
  <c r="A460" i="25" s="1"/>
  <c r="A461" i="25" s="1"/>
  <c r="A462" i="25" s="1"/>
  <c r="A463" i="25" s="1"/>
  <c r="A464" i="25" s="1"/>
  <c r="A465" i="25" s="1"/>
  <c r="A466" i="25" s="1"/>
  <c r="A467" i="25" s="1"/>
  <c r="A468" i="25" s="1"/>
  <c r="A469" i="25" s="1"/>
  <c r="A470" i="25" s="1"/>
  <c r="A471" i="25" s="1"/>
  <c r="A472" i="25" s="1"/>
  <c r="A473" i="25" s="1"/>
  <c r="A474" i="25" s="1"/>
  <c r="A475" i="25" s="1"/>
  <c r="A476" i="25" s="1"/>
  <c r="A477" i="25" s="1"/>
  <c r="A478" i="25" s="1"/>
  <c r="A479" i="25" s="1"/>
  <c r="A480" i="25" s="1"/>
  <c r="A481" i="25" s="1"/>
  <c r="A482" i="25" s="1"/>
  <c r="A483" i="25" s="1"/>
  <c r="A484" i="25" s="1"/>
  <c r="A485" i="25" s="1"/>
  <c r="A486" i="25" s="1"/>
  <c r="A487" i="25" s="1"/>
  <c r="A488" i="25" s="1"/>
  <c r="A489" i="25" s="1"/>
  <c r="A490" i="25" s="1"/>
  <c r="A491" i="25" s="1"/>
  <c r="A492" i="25" s="1"/>
  <c r="A493" i="25" s="1"/>
  <c r="A494" i="25" s="1"/>
  <c r="A495" i="25" s="1"/>
  <c r="A496" i="25" s="1"/>
  <c r="A497" i="25" s="1"/>
  <c r="A498" i="25" s="1"/>
  <c r="A499" i="25" s="1"/>
  <c r="A500" i="25" s="1"/>
  <c r="A501" i="25" s="1"/>
  <c r="A502" i="25" s="1"/>
  <c r="A503" i="25" s="1"/>
  <c r="A504" i="25" s="1"/>
  <c r="A505" i="25" s="1"/>
  <c r="A506" i="25" s="1"/>
  <c r="A507" i="25" s="1"/>
  <c r="A508" i="25" s="1"/>
  <c r="A509" i="25" s="1"/>
  <c r="A510" i="25" s="1"/>
  <c r="A511" i="25" s="1"/>
  <c r="A512" i="25" s="1"/>
  <c r="A513" i="25" s="1"/>
  <c r="A514" i="25" s="1"/>
  <c r="A515" i="25" s="1"/>
  <c r="A516" i="25" s="1"/>
  <c r="A517" i="25" s="1"/>
  <c r="A518" i="25" s="1"/>
  <c r="A519" i="25" s="1"/>
  <c r="A520" i="25" s="1"/>
  <c r="A521" i="25" s="1"/>
  <c r="A522" i="25" s="1"/>
  <c r="A523" i="25" s="1"/>
  <c r="A524" i="25" s="1"/>
  <c r="A525" i="25" s="1"/>
  <c r="A526" i="25" s="1"/>
  <c r="A527" i="25" s="1"/>
  <c r="A528" i="25" s="1"/>
  <c r="A529" i="25" s="1"/>
  <c r="A530" i="25" s="1"/>
  <c r="A531" i="25" s="1"/>
  <c r="A532" i="25" s="1"/>
  <c r="A533" i="25" s="1"/>
  <c r="A534" i="25" s="1"/>
  <c r="A535" i="25" s="1"/>
  <c r="A536" i="25" s="1"/>
  <c r="A537" i="25" s="1"/>
  <c r="A538" i="25" s="1"/>
  <c r="A539" i="25" s="1"/>
  <c r="A540" i="25" s="1"/>
  <c r="A541" i="25" s="1"/>
  <c r="A542" i="25" s="1"/>
  <c r="A543" i="25" s="1"/>
  <c r="A544" i="25" s="1"/>
  <c r="A545" i="25" s="1"/>
  <c r="A546" i="25" s="1"/>
  <c r="A547" i="25" s="1"/>
  <c r="A548" i="25" s="1"/>
  <c r="A549" i="25" s="1"/>
  <c r="A550" i="25" s="1"/>
  <c r="A551" i="25" s="1"/>
  <c r="A552" i="25" s="1"/>
  <c r="A553" i="25" s="1"/>
  <c r="A554" i="25" s="1"/>
  <c r="A555" i="25" s="1"/>
  <c r="A556" i="25" s="1"/>
  <c r="A557" i="25" s="1"/>
  <c r="A558" i="25" s="1"/>
  <c r="A559" i="25" s="1"/>
  <c r="A560" i="25" s="1"/>
  <c r="A561" i="25" s="1"/>
  <c r="A562" i="25" s="1"/>
  <c r="A563" i="25" s="1"/>
  <c r="A564" i="25" s="1"/>
  <c r="A565" i="25" s="1"/>
  <c r="A566" i="25" s="1"/>
  <c r="A567" i="25" s="1"/>
  <c r="A568" i="25" s="1"/>
  <c r="A569" i="25" s="1"/>
  <c r="A570" i="25" s="1"/>
  <c r="A571" i="25" s="1"/>
  <c r="A572" i="25" s="1"/>
  <c r="A573" i="25" s="1"/>
  <c r="A574" i="25" s="1"/>
  <c r="A575" i="25" s="1"/>
  <c r="A576" i="25" s="1"/>
  <c r="A577" i="25" s="1"/>
  <c r="A578" i="25" s="1"/>
  <c r="A579" i="25" s="1"/>
  <c r="A580" i="25" s="1"/>
  <c r="A581" i="25" s="1"/>
  <c r="A582" i="25" s="1"/>
  <c r="A583" i="25" s="1"/>
  <c r="A584" i="25" s="1"/>
  <c r="A585" i="25" s="1"/>
  <c r="A586" i="25" s="1"/>
  <c r="A587" i="25" s="1"/>
  <c r="A588" i="25" s="1"/>
  <c r="A589" i="25" s="1"/>
  <c r="A590" i="25" s="1"/>
  <c r="A591" i="25" s="1"/>
  <c r="A592" i="25" s="1"/>
  <c r="A593" i="25" s="1"/>
  <c r="A594" i="25" s="1"/>
  <c r="A595" i="25" s="1"/>
  <c r="A596" i="25" s="1"/>
  <c r="A597" i="25" s="1"/>
  <c r="A598" i="25" s="1"/>
  <c r="A599" i="25" s="1"/>
  <c r="A600" i="25" s="1"/>
  <c r="A601" i="25" s="1"/>
  <c r="A602" i="25" s="1"/>
  <c r="A603" i="25" s="1"/>
  <c r="A604" i="25" s="1"/>
  <c r="A605" i="25" s="1"/>
  <c r="A606" i="25" s="1"/>
  <c r="A607" i="25" s="1"/>
  <c r="A608" i="25" s="1"/>
  <c r="A609" i="25" s="1"/>
  <c r="A610" i="25" s="1"/>
  <c r="A611" i="25" s="1"/>
  <c r="A612" i="25" s="1"/>
  <c r="A613" i="25" s="1"/>
  <c r="A614" i="25" s="1"/>
  <c r="A615" i="25" s="1"/>
  <c r="A616" i="25" s="1"/>
  <c r="A617" i="25" s="1"/>
  <c r="A618" i="25" s="1"/>
  <c r="A619" i="25" s="1"/>
  <c r="A620" i="25" s="1"/>
  <c r="A621" i="25" s="1"/>
  <c r="A622" i="25" s="1"/>
  <c r="A623" i="25" s="1"/>
  <c r="A624" i="25" s="1"/>
  <c r="A625" i="25" s="1"/>
  <c r="A626" i="25" s="1"/>
  <c r="A627" i="25" s="1"/>
  <c r="A628" i="25" s="1"/>
  <c r="A629" i="25" s="1"/>
  <c r="A630" i="25" s="1"/>
  <c r="A631" i="25" s="1"/>
  <c r="A632" i="25" s="1"/>
  <c r="A633" i="25" s="1"/>
  <c r="A634" i="25" s="1"/>
  <c r="A635" i="25" s="1"/>
  <c r="A636" i="25" s="1"/>
  <c r="A637" i="25" s="1"/>
  <c r="A638" i="25" s="1"/>
  <c r="A639" i="25" s="1"/>
  <c r="A640" i="25" s="1"/>
  <c r="A641" i="25" s="1"/>
  <c r="A642" i="25" s="1"/>
  <c r="A643" i="25" s="1"/>
  <c r="A644" i="25" s="1"/>
  <c r="A645" i="25" s="1"/>
  <c r="A646" i="25" s="1"/>
  <c r="A647" i="25" s="1"/>
  <c r="A648" i="25" s="1"/>
  <c r="A649" i="25" s="1"/>
  <c r="A650" i="25" s="1"/>
  <c r="A651" i="25" s="1"/>
  <c r="A652" i="25" s="1"/>
  <c r="A653" i="25" s="1"/>
  <c r="A654" i="25" s="1"/>
  <c r="A655" i="25" s="1"/>
  <c r="A656" i="25" s="1"/>
  <c r="A657" i="25" s="1"/>
  <c r="A658" i="25" s="1"/>
  <c r="A659" i="25" s="1"/>
  <c r="A660" i="25" s="1"/>
  <c r="A661" i="25" s="1"/>
  <c r="A662" i="25" s="1"/>
  <c r="A663" i="25" s="1"/>
  <c r="A664" i="25" s="1"/>
  <c r="A665" i="25" s="1"/>
  <c r="A666" i="25" s="1"/>
  <c r="A667" i="25" s="1"/>
  <c r="A668" i="25" s="1"/>
  <c r="A669" i="25" s="1"/>
  <c r="A670" i="25" s="1"/>
  <c r="A671" i="25" s="1"/>
  <c r="A672" i="25" s="1"/>
  <c r="A673" i="25" s="1"/>
  <c r="A674" i="25" s="1"/>
  <c r="A675" i="25" s="1"/>
  <c r="A676" i="25" s="1"/>
  <c r="A677" i="25" s="1"/>
  <c r="A678" i="25" s="1"/>
  <c r="A679" i="25" s="1"/>
  <c r="A680" i="25" s="1"/>
  <c r="A681" i="25" s="1"/>
  <c r="A682" i="25" s="1"/>
  <c r="A683" i="25" s="1"/>
  <c r="A684" i="25" s="1"/>
  <c r="A685" i="25" s="1"/>
  <c r="A686" i="25" s="1"/>
  <c r="A687" i="25" s="1"/>
  <c r="A688" i="25" s="1"/>
  <c r="A689" i="25" s="1"/>
  <c r="A690" i="25" s="1"/>
  <c r="A691" i="25" s="1"/>
  <c r="A692" i="25" s="1"/>
  <c r="A693" i="25" s="1"/>
  <c r="A694" i="25" s="1"/>
  <c r="A695" i="25" s="1"/>
  <c r="A696" i="25" s="1"/>
  <c r="A697" i="25" s="1"/>
  <c r="A698" i="25" s="1"/>
  <c r="A699" i="25" s="1"/>
  <c r="A700" i="25" s="1"/>
  <c r="A701" i="25" s="1"/>
  <c r="A702" i="25" s="1"/>
  <c r="A703" i="25" s="1"/>
  <c r="A704" i="25" s="1"/>
  <c r="A705" i="25" s="1"/>
  <c r="A706" i="25" s="1"/>
  <c r="A707" i="25" s="1"/>
  <c r="A708" i="25" s="1"/>
  <c r="A709" i="25" s="1"/>
  <c r="A710" i="25" s="1"/>
  <c r="A711" i="25" s="1"/>
  <c r="A712" i="25" s="1"/>
  <c r="A713" i="25" s="1"/>
  <c r="A714" i="25" s="1"/>
  <c r="A715" i="25" s="1"/>
  <c r="A716" i="25" s="1"/>
  <c r="A717" i="25" s="1"/>
  <c r="A718" i="25" s="1"/>
  <c r="A719" i="25" s="1"/>
  <c r="A720" i="25" s="1"/>
  <c r="A721" i="25" s="1"/>
  <c r="A722" i="25" s="1"/>
  <c r="A723" i="25" s="1"/>
  <c r="A724" i="25" s="1"/>
  <c r="A725" i="25" s="1"/>
  <c r="A726" i="25" s="1"/>
  <c r="A727" i="25" s="1"/>
  <c r="A728" i="25" s="1"/>
  <c r="A729" i="25" s="1"/>
  <c r="A730" i="25" s="1"/>
  <c r="A731" i="25" s="1"/>
  <c r="A732" i="25" s="1"/>
  <c r="A733" i="25" s="1"/>
  <c r="A734" i="25" s="1"/>
  <c r="A735" i="25" s="1"/>
  <c r="A736" i="25" s="1"/>
  <c r="A737" i="25" s="1"/>
  <c r="A738" i="25" s="1"/>
  <c r="A739" i="25" s="1"/>
  <c r="A740" i="25" s="1"/>
  <c r="A741" i="25" s="1"/>
  <c r="A742" i="25" s="1"/>
  <c r="A743" i="25" s="1"/>
  <c r="A744" i="25" s="1"/>
  <c r="A745" i="25" s="1"/>
  <c r="A746" i="25" s="1"/>
  <c r="A747" i="25" s="1"/>
  <c r="A748" i="25" s="1"/>
  <c r="A749" i="25" s="1"/>
  <c r="A750" i="25" s="1"/>
  <c r="A751" i="25" s="1"/>
  <c r="A752" i="25" s="1"/>
  <c r="A753" i="25" s="1"/>
  <c r="A754" i="25" s="1"/>
  <c r="A755" i="25" s="1"/>
  <c r="A756" i="25" s="1"/>
  <c r="A757" i="25" s="1"/>
  <c r="A758" i="25" s="1"/>
  <c r="A759" i="25" s="1"/>
  <c r="A760" i="25" s="1"/>
  <c r="A761" i="25" s="1"/>
  <c r="A762" i="25" s="1"/>
  <c r="A763" i="25" s="1"/>
  <c r="A764" i="25" s="1"/>
  <c r="A765" i="25" s="1"/>
  <c r="A766" i="25" s="1"/>
  <c r="A767" i="25" s="1"/>
  <c r="A768" i="25" s="1"/>
  <c r="A769" i="25" s="1"/>
  <c r="A770" i="25" s="1"/>
  <c r="A771" i="25" s="1"/>
  <c r="A772" i="25" s="1"/>
  <c r="A773" i="25" s="1"/>
  <c r="A774" i="25" s="1"/>
  <c r="A775" i="25" s="1"/>
  <c r="A776" i="25" s="1"/>
  <c r="A777" i="25" s="1"/>
  <c r="A778" i="25" s="1"/>
  <c r="A779" i="25" s="1"/>
  <c r="A780" i="25" s="1"/>
  <c r="A781" i="25" s="1"/>
  <c r="A782" i="25" s="1"/>
  <c r="A783" i="25" s="1"/>
  <c r="A784" i="25" s="1"/>
  <c r="A785" i="25" s="1"/>
  <c r="A786" i="25" s="1"/>
  <c r="A787" i="25" s="1"/>
  <c r="A788" i="25" s="1"/>
  <c r="A789" i="25" s="1"/>
  <c r="A790" i="25" s="1"/>
  <c r="A791" i="25" s="1"/>
  <c r="A792" i="25" s="1"/>
  <c r="A793" i="25" s="1"/>
  <c r="A794" i="25" s="1"/>
  <c r="A795" i="25" s="1"/>
  <c r="A796" i="25" s="1"/>
  <c r="A797" i="25" s="1"/>
  <c r="A798" i="25" s="1"/>
  <c r="A799" i="25" s="1"/>
  <c r="A800" i="25" s="1"/>
  <c r="A801" i="25" s="1"/>
  <c r="A802" i="25" s="1"/>
  <c r="A803" i="25" s="1"/>
  <c r="A804" i="25" s="1"/>
  <c r="A805" i="25" s="1"/>
  <c r="A806" i="25" s="1"/>
  <c r="A807" i="25" s="1"/>
  <c r="A808" i="25" s="1"/>
  <c r="A809" i="25" s="1"/>
  <c r="A810" i="25" s="1"/>
  <c r="A811" i="25" s="1"/>
  <c r="A812" i="25" s="1"/>
  <c r="A813" i="25" s="1"/>
  <c r="A814" i="25" s="1"/>
  <c r="A815" i="25" s="1"/>
  <c r="A816" i="25" s="1"/>
  <c r="A817" i="25" s="1"/>
  <c r="A818" i="25" s="1"/>
  <c r="A819" i="25" s="1"/>
  <c r="A820" i="25" s="1"/>
  <c r="A821" i="25" s="1"/>
  <c r="A822" i="25" s="1"/>
  <c r="A823" i="25" s="1"/>
  <c r="A824" i="25" s="1"/>
  <c r="A825" i="25" s="1"/>
  <c r="A826" i="25" s="1"/>
  <c r="A827" i="25" s="1"/>
  <c r="A828" i="25" s="1"/>
  <c r="A829" i="25" s="1"/>
  <c r="A830" i="25" s="1"/>
  <c r="A831" i="25" s="1"/>
  <c r="A832" i="25" s="1"/>
  <c r="A833" i="25" s="1"/>
  <c r="A834" i="25" s="1"/>
  <c r="A835" i="25" s="1"/>
  <c r="A836" i="25" s="1"/>
  <c r="A837" i="25" s="1"/>
  <c r="A838" i="25" s="1"/>
  <c r="A839" i="25" s="1"/>
  <c r="A840" i="25" s="1"/>
  <c r="A841" i="25" s="1"/>
  <c r="A842" i="25" s="1"/>
  <c r="A843" i="25" s="1"/>
  <c r="A844" i="25" s="1"/>
  <c r="A845" i="25" s="1"/>
  <c r="A846" i="25" s="1"/>
  <c r="A847" i="25" s="1"/>
  <c r="A848" i="25" s="1"/>
  <c r="A849" i="25" s="1"/>
  <c r="A850" i="25" s="1"/>
  <c r="A851" i="25" s="1"/>
  <c r="A852" i="25" s="1"/>
  <c r="A853" i="25" s="1"/>
  <c r="A854" i="25" s="1"/>
  <c r="A855" i="25" s="1"/>
  <c r="A856" i="25" s="1"/>
  <c r="A857" i="25" s="1"/>
  <c r="A858" i="25" s="1"/>
  <c r="A859" i="25" s="1"/>
  <c r="A860" i="25" s="1"/>
  <c r="A861" i="25" s="1"/>
  <c r="A862" i="25" s="1"/>
  <c r="A863" i="25" s="1"/>
  <c r="A864" i="25" s="1"/>
  <c r="A865" i="25" s="1"/>
  <c r="A866" i="25" s="1"/>
  <c r="A867" i="25" s="1"/>
  <c r="A868" i="25" s="1"/>
  <c r="A869" i="25" s="1"/>
  <c r="A870" i="25" s="1"/>
  <c r="A871" i="25" s="1"/>
  <c r="A872" i="25" s="1"/>
  <c r="A873" i="25" s="1"/>
  <c r="A874" i="25" s="1"/>
  <c r="A875" i="25" s="1"/>
  <c r="A876" i="25" s="1"/>
  <c r="A877" i="25" s="1"/>
  <c r="A878" i="25" s="1"/>
  <c r="A879" i="25" s="1"/>
  <c r="A880" i="25" s="1"/>
  <c r="A881" i="25" s="1"/>
  <c r="A882" i="25" s="1"/>
  <c r="A883" i="25" s="1"/>
  <c r="A884" i="25" s="1"/>
  <c r="A885" i="25" s="1"/>
  <c r="A886" i="25" s="1"/>
  <c r="A887" i="25" s="1"/>
  <c r="A888" i="25" s="1"/>
  <c r="A889" i="25" s="1"/>
  <c r="A890" i="25" s="1"/>
  <c r="A891" i="25" s="1"/>
  <c r="A892" i="25" s="1"/>
  <c r="A893" i="25" s="1"/>
  <c r="A894" i="25" s="1"/>
  <c r="A895" i="25" s="1"/>
  <c r="A896" i="25" s="1"/>
  <c r="A897" i="25" s="1"/>
  <c r="A898" i="25" s="1"/>
  <c r="A899" i="25" s="1"/>
  <c r="A900" i="25" s="1"/>
  <c r="A901" i="25" s="1"/>
  <c r="A902" i="25" s="1"/>
  <c r="A903" i="25" s="1"/>
  <c r="A904" i="25" s="1"/>
  <c r="A905" i="25" s="1"/>
  <c r="A906" i="25" s="1"/>
  <c r="A907" i="25" s="1"/>
  <c r="A908" i="25" s="1"/>
  <c r="A909" i="25" s="1"/>
  <c r="A910" i="25" s="1"/>
  <c r="A911" i="25" s="1"/>
  <c r="A912" i="25" s="1"/>
  <c r="A913" i="25" s="1"/>
  <c r="A914" i="25" s="1"/>
  <c r="A915" i="25" s="1"/>
  <c r="A916" i="25" s="1"/>
  <c r="A917" i="25" s="1"/>
  <c r="A918" i="25" s="1"/>
  <c r="A919" i="25" s="1"/>
  <c r="A920" i="25" s="1"/>
  <c r="A921" i="25" s="1"/>
  <c r="A922" i="25" s="1"/>
  <c r="A923" i="25" s="1"/>
  <c r="A924" i="25" s="1"/>
  <c r="H616" i="7"/>
  <c r="G6" i="7"/>
  <c r="F33" i="7"/>
  <c r="G642" i="7"/>
  <c r="H622" i="7" s="1"/>
  <c r="F31" i="7"/>
  <c r="H617" i="7"/>
  <c r="G641" i="7"/>
  <c r="H618" i="7"/>
  <c r="F32" i="7"/>
  <c r="H620" i="7" l="1"/>
  <c r="F22" i="7"/>
  <c r="O32" i="7"/>
  <c r="J32" i="7" s="1"/>
  <c r="O33" i="7"/>
  <c r="J33" i="7" s="1"/>
  <c r="D638" i="7"/>
  <c r="D640" i="7"/>
  <c r="D637" i="7"/>
  <c r="D639" i="7"/>
  <c r="D635" i="7"/>
  <c r="AC226" i="7"/>
  <c r="N36" i="7"/>
  <c r="K36" i="7" s="1"/>
  <c r="O36" i="7" s="1"/>
  <c r="J36" i="7" s="1"/>
  <c r="J226" i="7"/>
  <c r="N226" i="7"/>
  <c r="N215" i="7"/>
  <c r="N204" i="7"/>
  <c r="J616" i="7"/>
  <c r="H30" i="7" s="1"/>
  <c r="H655" i="7"/>
  <c r="M655" i="7" s="1"/>
  <c r="J615" i="7"/>
  <c r="H29" i="7" s="1"/>
  <c r="F23" i="7"/>
  <c r="K34" i="7"/>
  <c r="O34" i="7" s="1"/>
  <c r="J34" i="7" s="1"/>
  <c r="L164" i="7"/>
  <c r="J657" i="7"/>
  <c r="K35" i="7"/>
  <c r="O35" i="7" s="1"/>
  <c r="J35" i="7" s="1"/>
  <c r="G658" i="7"/>
  <c r="G643" i="7"/>
  <c r="H623" i="7" s="1"/>
  <c r="P47" i="7"/>
  <c r="N681" i="7"/>
  <c r="P681" i="7" s="1"/>
  <c r="N40" i="7" s="1"/>
  <c r="J659" i="7"/>
  <c r="M659" i="7" s="1"/>
  <c r="G36" i="7" s="1"/>
  <c r="I622" i="7" s="1"/>
  <c r="J622" i="7" s="1"/>
  <c r="H36" i="7" s="1"/>
  <c r="J660" i="7"/>
  <c r="M660" i="7" s="1"/>
  <c r="G37" i="7" s="1"/>
  <c r="I623" i="7" s="1"/>
  <c r="K37" i="7"/>
  <c r="O37" i="7" s="1"/>
  <c r="J37" i="7" s="1"/>
  <c r="A124" i="28"/>
  <c r="A202" i="28" s="1"/>
  <c r="A925" i="25"/>
  <c r="A926" i="25" s="1"/>
  <c r="A927" i="25" s="1"/>
  <c r="A928" i="25" s="1"/>
  <c r="A929" i="25" s="1"/>
  <c r="A930" i="25" s="1"/>
  <c r="A931" i="25" s="1"/>
  <c r="A932" i="25" s="1"/>
  <c r="A933" i="25" s="1"/>
  <c r="F36" i="7"/>
  <c r="D642" i="7" s="1"/>
  <c r="M657" i="7"/>
  <c r="G34" i="7" s="1"/>
  <c r="I620" i="7" s="1"/>
  <c r="F35" i="7"/>
  <c r="D641" i="7" s="1"/>
  <c r="H621" i="7"/>
  <c r="M164" i="7"/>
  <c r="J620" i="7" l="1"/>
  <c r="H34" i="7" s="1"/>
  <c r="G32" i="7"/>
  <c r="I618" i="7" s="1"/>
  <c r="J618" i="7" s="1"/>
  <c r="H32" i="7" s="1"/>
  <c r="M31" i="7"/>
  <c r="M192" i="7"/>
  <c r="H658" i="7"/>
  <c r="M658" i="7" s="1"/>
  <c r="G35" i="7" s="1"/>
  <c r="I621" i="7" s="1"/>
  <c r="J621" i="7" s="1"/>
  <c r="H35" i="7" s="1"/>
  <c r="F37" i="7"/>
  <c r="D643" i="7" s="1"/>
  <c r="J623" i="7"/>
  <c r="H37" i="7" s="1"/>
  <c r="A125" i="28"/>
  <c r="A203" i="28" s="1"/>
  <c r="A934" i="25"/>
  <c r="A935" i="25" s="1"/>
  <c r="A936" i="25" s="1"/>
  <c r="A937" i="25" s="1"/>
  <c r="A938" i="25" s="1"/>
  <c r="A939" i="25" s="1"/>
  <c r="A940" i="25" s="1"/>
  <c r="A941" i="25" s="1"/>
  <c r="A942" i="25" s="1"/>
  <c r="A943" i="25" s="1"/>
  <c r="A944" i="25" s="1"/>
  <c r="A945" i="25" s="1"/>
  <c r="A946" i="25" s="1"/>
  <c r="A947" i="25" s="1"/>
  <c r="A948" i="25" s="1"/>
  <c r="A949" i="25" s="1"/>
  <c r="A950" i="25" s="1"/>
  <c r="A951" i="25" s="1"/>
  <c r="A952" i="25" s="1"/>
  <c r="A953" i="25" s="1"/>
  <c r="A954" i="25" s="1"/>
  <c r="A955" i="25" s="1"/>
  <c r="A956" i="25" s="1"/>
  <c r="A957" i="25" s="1"/>
  <c r="A958" i="25" s="1"/>
  <c r="A959" i="25" s="1"/>
  <c r="A960" i="25" s="1"/>
  <c r="A961" i="25" s="1"/>
  <c r="A962" i="25" s="1"/>
  <c r="A963" i="25" s="1"/>
  <c r="A964" i="25" s="1"/>
  <c r="A965" i="25" s="1"/>
  <c r="A966" i="25" s="1"/>
  <c r="A967" i="25" s="1"/>
  <c r="A968" i="25" s="1"/>
  <c r="A969" i="25" s="1"/>
  <c r="A970" i="25" s="1"/>
  <c r="A971" i="25" s="1"/>
  <c r="A972" i="25" s="1"/>
  <c r="A973" i="25" s="1"/>
  <c r="A974" i="25" s="1"/>
  <c r="A975" i="25" s="1"/>
  <c r="A976" i="25" s="1"/>
  <c r="A977" i="25" s="1"/>
  <c r="A978" i="25" s="1"/>
  <c r="A979" i="25" s="1"/>
  <c r="A980" i="25" s="1"/>
  <c r="A981" i="25" s="1"/>
  <c r="A982" i="25" s="1"/>
  <c r="A983" i="25" s="1"/>
  <c r="A984" i="25" s="1"/>
  <c r="A985" i="25" s="1"/>
  <c r="A986" i="25" s="1"/>
  <c r="A987" i="25" s="1"/>
  <c r="A988" i="25" s="1"/>
  <c r="A989" i="25" s="1"/>
  <c r="N165" i="7"/>
  <c r="F398" i="7"/>
  <c r="N31" i="7"/>
  <c r="N166" i="7"/>
  <c r="F399" i="7" l="1"/>
  <c r="F403" i="7" s="1"/>
  <c r="F24" i="7" s="1"/>
  <c r="J654" i="7"/>
  <c r="I771" i="7"/>
  <c r="I772" i="7"/>
  <c r="K771" i="7"/>
  <c r="J772" i="7"/>
  <c r="G781" i="7" s="1"/>
  <c r="K772" i="7"/>
  <c r="L772" i="7"/>
  <c r="H781" i="7" s="1"/>
  <c r="K31" i="7"/>
  <c r="O31" i="7" s="1"/>
  <c r="J31" i="7" s="1"/>
  <c r="G654" i="7"/>
  <c r="G11" i="7"/>
  <c r="P165" i="7"/>
  <c r="A126" i="28"/>
  <c r="A204" i="28" s="1"/>
  <c r="O165" i="7"/>
  <c r="N39" i="7" s="1"/>
  <c r="F402" i="7" l="1"/>
  <c r="H40" i="7" s="1"/>
  <c r="J340" i="7" s="1"/>
  <c r="K340" i="7" s="1"/>
  <c r="H654" i="7"/>
  <c r="M654" i="7" s="1"/>
  <c r="G31" i="7" s="1"/>
  <c r="I617" i="7" s="1"/>
  <c r="J617" i="7" s="1"/>
  <c r="H31" i="7" s="1"/>
  <c r="H66" i="7"/>
  <c r="F21" i="7"/>
  <c r="G656" i="7"/>
  <c r="H656" i="7" s="1"/>
  <c r="J656" i="7"/>
  <c r="G364" i="7"/>
  <c r="F667" i="7"/>
  <c r="F670" i="7" s="1"/>
  <c r="F285" i="7" s="1"/>
  <c r="A127" i="28"/>
  <c r="A205" i="28" s="1"/>
  <c r="G8" i="7" l="1"/>
  <c r="J341" i="7"/>
  <c r="K341" i="7" s="1"/>
  <c r="F287" i="7"/>
  <c r="F300" i="7" s="1"/>
  <c r="M656" i="7"/>
  <c r="G33" i="7" s="1"/>
  <c r="I619" i="7" s="1"/>
  <c r="J619" i="7" s="1"/>
  <c r="H33" i="7" s="1"/>
  <c r="H39" i="7" s="1"/>
  <c r="J337" i="7" l="1"/>
  <c r="K337" i="7" s="1"/>
  <c r="F291" i="7"/>
  <c r="F301" i="7" s="1"/>
  <c r="I329" i="7"/>
  <c r="J624" i="7"/>
  <c r="I330" i="7"/>
  <c r="U285" i="7"/>
  <c r="N42" i="7"/>
  <c r="I328" i="7"/>
  <c r="N41" i="7"/>
  <c r="I333" i="7" s="1"/>
  <c r="I542" i="7"/>
  <c r="F293" i="7" l="1"/>
  <c r="F296" i="7" s="1"/>
  <c r="F297" i="7" s="1"/>
  <c r="I334" i="7"/>
  <c r="AG325" i="7"/>
  <c r="G779" i="7"/>
  <c r="U287" i="7"/>
  <c r="U291" i="7" s="1"/>
  <c r="U293" i="7" s="1"/>
  <c r="U296" i="7" s="1"/>
  <c r="U297" i="7" s="1"/>
  <c r="S1" i="7"/>
  <c r="G787" i="7" l="1"/>
  <c r="J338" i="7" s="1"/>
  <c r="G786" i="7"/>
  <c r="G788" i="7" s="1"/>
  <c r="J339" i="7" s="1"/>
  <c r="K339" i="7" s="1"/>
  <c r="G782" i="7"/>
  <c r="G783" i="7" s="1"/>
  <c r="G785" i="7" s="1"/>
  <c r="F302" i="7"/>
  <c r="G7" i="7"/>
  <c r="AF51" i="7" l="1"/>
  <c r="K338" i="7"/>
  <c r="J342" i="7" s="1"/>
  <c r="K4" i="7" s="1"/>
  <c r="G5" i="7" l="1"/>
  <c r="G10"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Benjamin Hannas</author>
    <author>Carolyn Roos</author>
    <author>WSU</author>
    <author>Engineer in a Pocket Roos</author>
    <author>Emily Salzberg</author>
  </authors>
  <commentList>
    <comment ref="AM2" authorId="0" shapeId="0" xr:uid="{00000000-0006-0000-0500-000001000000}">
      <text>
        <r>
          <rPr>
            <b/>
            <sz val="9"/>
            <color indexed="81"/>
            <rFont val="Tahoma"/>
            <family val="2"/>
          </rPr>
          <t>Benjamin Hannas:</t>
        </r>
        <r>
          <rPr>
            <sz val="9"/>
            <color indexed="81"/>
            <rFont val="Tahoma"/>
            <family val="2"/>
          </rPr>
          <t xml:space="preserve">
These are only the initial values. In the code, SEEM should be run twice to get the proper sizing.</t>
        </r>
      </text>
    </comment>
    <comment ref="AN2" authorId="0" shapeId="0" xr:uid="{00000000-0006-0000-0500-000002000000}">
      <text>
        <r>
          <rPr>
            <b/>
            <sz val="9"/>
            <color indexed="81"/>
            <rFont val="Tahoma"/>
            <family val="2"/>
          </rPr>
          <t>Benjamin Hannas:</t>
        </r>
        <r>
          <rPr>
            <sz val="9"/>
            <color indexed="81"/>
            <rFont val="Tahoma"/>
            <family val="2"/>
          </rPr>
          <t xml:space="preserve">
These are only the initial values. In the code, SEEM should be run twice to get the proper sizing.</t>
        </r>
      </text>
    </comment>
    <comment ref="CJ2" authorId="0" shapeId="0" xr:uid="{00000000-0006-0000-0500-000003000000}">
      <text>
        <r>
          <rPr>
            <b/>
            <sz val="9"/>
            <color indexed="81"/>
            <rFont val="Tahoma"/>
            <family val="2"/>
          </rPr>
          <t>Benjamin Hannas:</t>
        </r>
        <r>
          <rPr>
            <sz val="9"/>
            <color indexed="81"/>
            <rFont val="Tahoma"/>
            <family val="2"/>
          </rPr>
          <t xml:space="preserve">
For now, this just needs to be 1500, 5000, or 9999, based on max sqft categories from wa options table</t>
        </r>
      </text>
    </comment>
    <comment ref="K4" authorId="1" shapeId="0" xr:uid="{00000000-0006-0000-0500-000004000000}">
      <text>
        <r>
          <rPr>
            <b/>
            <sz val="9"/>
            <color indexed="81"/>
            <rFont val="Tahoma"/>
            <family val="2"/>
          </rPr>
          <t>Resuts tests for:</t>
        </r>
        <r>
          <rPr>
            <sz val="9"/>
            <color indexed="81"/>
            <rFont val="Tahoma"/>
            <family val="2"/>
          </rPr>
          <t xml:space="preserve">
Are UA reduction and credit requirements met?  For U-factor path, do all U-factors meet requirements of Table R402.1.2?
--------------
</t>
        </r>
        <r>
          <rPr>
            <b/>
            <sz val="9"/>
            <color indexed="81"/>
            <rFont val="Tahoma"/>
            <family val="2"/>
          </rPr>
          <t>For user-defined baseline</t>
        </r>
        <r>
          <rPr>
            <sz val="9"/>
            <color indexed="81"/>
            <rFont val="Tahoma"/>
            <family val="2"/>
          </rPr>
          <t>,</t>
        </r>
        <r>
          <rPr>
            <b/>
            <sz val="9"/>
            <color indexed="81"/>
            <rFont val="Tahoma"/>
            <family val="2"/>
          </rPr>
          <t xml:space="preserve"> the result is not automatically calculated</t>
        </r>
        <r>
          <rPr>
            <sz val="9"/>
            <color indexed="81"/>
            <rFont val="Tahoma"/>
            <family val="2"/>
          </rPr>
          <t xml:space="preserve">.  Contact WSUEP for guidance.  User-defined baseline is most commonly used for additions with a trade-off with existing building to meet UA and energy credits. In short, 
* %UA reduction is relative to UA of addition.
* Enter Baseline Design as:
--- For addition components, enter code baseline meeting U-values in Table R402.1.2.
--- For existing component to be traded off, enter its "as is".  For example if the existing home has an attic insulated to R30 that will be upgraded to meet credits, enter an R30 attic in baseline.  </t>
        </r>
      </text>
    </comment>
    <comment ref="E17" authorId="1" shapeId="0" xr:uid="{00000000-0006-0000-0500-000005000000}">
      <text>
        <r>
          <rPr>
            <b/>
            <sz val="10"/>
            <color indexed="8"/>
            <rFont val="Arial"/>
            <family val="2"/>
          </rPr>
          <t>What code compliance pathway are you using?”</t>
        </r>
        <r>
          <rPr>
            <sz val="10"/>
            <color indexed="8"/>
            <rFont val="Arial"/>
            <family val="2"/>
          </rPr>
          <t xml:space="preserve"> – Your answer to this question changes the baseline that your design is compared to.
• </t>
        </r>
        <r>
          <rPr>
            <b/>
            <sz val="10"/>
            <color indexed="8"/>
            <rFont val="Arial"/>
            <family val="2"/>
          </rPr>
          <t>Select Prescriptive path compliance with Option 1</t>
        </r>
        <r>
          <rPr>
            <sz val="10"/>
            <color indexed="8"/>
            <rFont val="Arial"/>
            <family val="2"/>
          </rPr>
          <t xml:space="preserve"> if you are using the prescriptive path to meet WSEC requirements per Section R402.1.   Your design is compared to the code baseline summarized in Table R402.1.1.   Baseline and proposed window areas are equal.  Input areas open for exempt window and door areas.
• </t>
        </r>
        <r>
          <rPr>
            <b/>
            <sz val="10"/>
            <color indexed="8"/>
            <rFont val="Arial"/>
            <family val="2"/>
          </rPr>
          <t>Select User-Defined Baseline only for additions and  remodels/alterations</t>
        </r>
        <r>
          <rPr>
            <sz val="10"/>
            <color indexed="8"/>
            <rFont val="Arial"/>
            <family val="2"/>
          </rPr>
          <t xml:space="preserve">.  In conjunction with system design information, this calculator may be used to determine if the alteration or repair uses "no more energy than the existing building or structure prior to the alteration or repair", per Section R503.1.
• </t>
        </r>
        <r>
          <rPr>
            <b/>
            <sz val="10"/>
            <color indexed="8"/>
            <rFont val="Arial"/>
            <family val="2"/>
          </rPr>
          <t>Select Total UA Alternative, Whole Building Trade Off Analysis</t>
        </r>
        <r>
          <rPr>
            <sz val="10"/>
            <color indexed="8"/>
            <rFont val="Arial"/>
            <family val="2"/>
          </rPr>
          <t xml:space="preserve"> if you are using the “Total UA alternative” method of code compliance per Section R402.1.4.   Your design is compared to the code targets summarized in Table R402.1.1.   The maximum baseline window area for comparison is 15% of the floor area.
• </t>
        </r>
        <r>
          <rPr>
            <b/>
            <sz val="10"/>
            <color indexed="8"/>
            <rFont val="Arial"/>
            <family val="2"/>
          </rPr>
          <t xml:space="preserve">Select Complete Tables 406.2 and 406.3 </t>
        </r>
        <r>
          <rPr>
            <sz val="10"/>
            <color indexed="8"/>
            <rFont val="Arial"/>
            <family val="2"/>
          </rPr>
          <t xml:space="preserve">Only if you would like to fill out and print Table R406.2 for (2015 and 2018) and Table R406.3 (for 2018 only)
</t>
        </r>
      </text>
    </comment>
    <comment ref="E18" authorId="1" shapeId="0" xr:uid="{00000000-0006-0000-0500-000006000000}">
      <text>
        <r>
          <rPr>
            <b/>
            <sz val="10"/>
            <color indexed="8"/>
            <rFont val="Arial"/>
            <family val="2"/>
          </rPr>
          <t xml:space="preserve">“Project Building Type” </t>
        </r>
        <r>
          <rPr>
            <sz val="10"/>
            <color indexed="8"/>
            <rFont val="Arial"/>
            <family val="2"/>
          </rPr>
          <t xml:space="preserve"> -- Thermal envelope requirements for </t>
        </r>
        <r>
          <rPr>
            <b/>
            <sz val="10"/>
            <color indexed="8"/>
            <rFont val="Arial"/>
            <family val="2"/>
          </rPr>
          <t xml:space="preserve">“New Construction” </t>
        </r>
        <r>
          <rPr>
            <sz val="10"/>
            <color indexed="8"/>
            <rFont val="Arial"/>
            <family val="2"/>
          </rPr>
          <t xml:space="preserve">are per WSEC Section 4.  Requirements for </t>
        </r>
        <r>
          <rPr>
            <b/>
            <sz val="10"/>
            <color indexed="8"/>
            <rFont val="Arial"/>
            <family val="2"/>
          </rPr>
          <t>“Additions”</t>
        </r>
        <r>
          <rPr>
            <sz val="10"/>
            <color indexed="8"/>
            <rFont val="Arial"/>
            <family val="2"/>
          </rPr>
          <t xml:space="preserve"> are per Section R502 and requirements for </t>
        </r>
        <r>
          <rPr>
            <b/>
            <sz val="10"/>
            <color indexed="8"/>
            <rFont val="Arial"/>
            <family val="2"/>
          </rPr>
          <t>“Alterations</t>
        </r>
        <r>
          <rPr>
            <sz val="10"/>
            <color indexed="8"/>
            <rFont val="Arial"/>
            <family val="2"/>
          </rPr>
          <t xml:space="preserve">” are per Section R503.
• </t>
        </r>
        <r>
          <rPr>
            <b/>
            <sz val="10"/>
            <color indexed="8"/>
            <rFont val="Arial"/>
            <family val="2"/>
          </rPr>
          <t>Addition</t>
        </r>
        <r>
          <rPr>
            <sz val="10"/>
            <color indexed="8"/>
            <rFont val="Arial"/>
            <family val="2"/>
          </rPr>
          <t xml:space="preserve"> is defined as an extension or increase in the conditioned space floor area or height of a building or structure.
• </t>
        </r>
        <r>
          <rPr>
            <b/>
            <sz val="10"/>
            <color indexed="8"/>
            <rFont val="Arial"/>
            <family val="2"/>
          </rPr>
          <t>Alteration</t>
        </r>
        <r>
          <rPr>
            <sz val="10"/>
            <color indexed="8"/>
            <rFont val="Arial"/>
            <family val="2"/>
          </rPr>
          <t xml:space="preserve"> is defined as any construction, retrofit or renovation to an existing structure other than repair or addition that requires a permit.  
</t>
        </r>
      </text>
    </comment>
    <comment ref="E21" authorId="1" shapeId="0" xr:uid="{00000000-0006-0000-0500-000007000000}">
      <text>
        <r>
          <rPr>
            <b/>
            <sz val="10"/>
            <color indexed="8"/>
            <rFont val="Arial"/>
            <family val="2"/>
          </rPr>
          <t>Classification</t>
        </r>
        <r>
          <rPr>
            <sz val="10"/>
            <color indexed="8"/>
            <rFont val="Arial"/>
            <family val="2"/>
          </rPr>
          <t xml:space="preserve"> is determined from floor area and project type per WSEC Section R406
</t>
        </r>
        <r>
          <rPr>
            <b/>
            <sz val="10"/>
            <color indexed="8"/>
            <rFont val="Arial"/>
            <family val="2"/>
          </rPr>
          <t>Enter floor area below.</t>
        </r>
      </text>
    </comment>
    <comment ref="G65" authorId="2" shapeId="0" xr:uid="{00000000-0006-0000-0500-000008000000}">
      <text>
        <r>
          <rPr>
            <b/>
            <sz val="10"/>
            <color indexed="8"/>
            <rFont val="Arial"/>
            <family val="2"/>
          </rPr>
          <t xml:space="preserve">Conditioned Floor Area:
</t>
        </r>
        <r>
          <rPr>
            <sz val="10"/>
            <color indexed="8"/>
            <rFont val="Arial"/>
            <family val="2"/>
          </rPr>
          <t xml:space="preserve">Enter the conditioned floor area of the building. </t>
        </r>
        <r>
          <rPr>
            <b/>
            <sz val="10"/>
            <color indexed="8"/>
            <rFont val="Arial"/>
            <family val="2"/>
          </rPr>
          <t xml:space="preserve">
Also See WSEC Chapter 2 Definition: Gross Conditioned Floor Area. 
</t>
        </r>
        <r>
          <rPr>
            <i/>
            <sz val="10"/>
            <color indexed="8"/>
            <rFont val="Arial"/>
            <family val="2"/>
          </rPr>
          <t xml:space="preserve">Used to calculate the target glazing area. </t>
        </r>
        <r>
          <rPr>
            <b/>
            <sz val="10"/>
            <color indexed="8"/>
            <rFont val="Arial"/>
            <family val="2"/>
          </rPr>
          <t xml:space="preserve">
</t>
        </r>
      </text>
    </comment>
    <comment ref="U65" authorId="2" shapeId="0" xr:uid="{00000000-0006-0000-0500-000009000000}">
      <text>
        <r>
          <rPr>
            <b/>
            <sz val="10"/>
            <color indexed="8"/>
            <rFont val="Arial"/>
            <family val="2"/>
          </rPr>
          <t xml:space="preserve">Conditioned Floor Area:
</t>
        </r>
        <r>
          <rPr>
            <sz val="10"/>
            <color indexed="8"/>
            <rFont val="Arial"/>
            <family val="2"/>
          </rPr>
          <t xml:space="preserve">Enter the conditioned floor area of the building. </t>
        </r>
        <r>
          <rPr>
            <b/>
            <sz val="10"/>
            <color indexed="8"/>
            <rFont val="Arial"/>
            <family val="2"/>
          </rPr>
          <t xml:space="preserve">
Also See WSEC Chapter 2 Definition: Gross Conditioned Floor Area. 
</t>
        </r>
        <r>
          <rPr>
            <i/>
            <sz val="10"/>
            <color indexed="8"/>
            <rFont val="Arial"/>
            <family val="2"/>
          </rPr>
          <t xml:space="preserve">Used to calculate the target glazing area. </t>
        </r>
        <r>
          <rPr>
            <b/>
            <sz val="10"/>
            <color indexed="8"/>
            <rFont val="Arial"/>
            <family val="2"/>
          </rPr>
          <t xml:space="preserve">
</t>
        </r>
      </text>
    </comment>
    <comment ref="G66" authorId="1" shapeId="0" xr:uid="{00000000-0006-0000-0500-00000A000000}">
      <text>
        <r>
          <rPr>
            <b/>
            <sz val="10"/>
            <color indexed="8"/>
            <rFont val="Arial"/>
            <family val="2"/>
          </rPr>
          <t>Classification</t>
        </r>
        <r>
          <rPr>
            <sz val="10"/>
            <color indexed="8"/>
            <rFont val="Arial"/>
            <family val="2"/>
          </rPr>
          <t xml:space="preserve"> is determined from floor area and project type per WSEC Section R406
</t>
        </r>
      </text>
    </comment>
    <comment ref="K71" authorId="2" shapeId="0" xr:uid="{00000000-0006-0000-0500-00000B000000}">
      <text>
        <r>
          <rPr>
            <b/>
            <sz val="10"/>
            <color indexed="8"/>
            <rFont val="Arial"/>
            <family val="2"/>
          </rPr>
          <t>Width and Height.</t>
        </r>
        <r>
          <rPr>
            <sz val="10"/>
            <color indexed="8"/>
            <rFont val="Arial"/>
            <family val="2"/>
          </rPr>
          <t xml:space="preserve">  Enter the dimensions of the rough opening for each door product.  
</t>
        </r>
      </text>
    </comment>
    <comment ref="Z71" authorId="2" shapeId="0" xr:uid="{00000000-0006-0000-0500-00000C000000}">
      <text>
        <r>
          <rPr>
            <b/>
            <sz val="10"/>
            <color indexed="8"/>
            <rFont val="Arial"/>
            <family val="2"/>
          </rPr>
          <t>Width and Height.</t>
        </r>
        <r>
          <rPr>
            <sz val="10"/>
            <color indexed="8"/>
            <rFont val="Arial"/>
            <family val="2"/>
          </rPr>
          <t xml:space="preserve">  Enter the dimensions of the rough opening for each door product.  
</t>
        </r>
      </text>
    </comment>
    <comment ref="E72" authorId="2" shapeId="0" xr:uid="{00000000-0006-0000-0500-00000D000000}">
      <text>
        <r>
          <rPr>
            <b/>
            <sz val="10"/>
            <color indexed="8"/>
            <rFont val="Arial"/>
            <family val="2"/>
          </rPr>
          <t>Component Description: Exterior Doors</t>
        </r>
        <r>
          <rPr>
            <sz val="10"/>
            <color indexed="8"/>
            <rFont val="Arial"/>
            <family val="2"/>
          </rPr>
          <t xml:space="preserve">
- Use the pull down menu to select the component description that matches the design. The results will be displayed in the component description, Ref, and Door U columns. 
- It is recommended that you obtain descriptions and U-factors from the product manufacturer, Enter this data in the </t>
        </r>
        <r>
          <rPr>
            <i/>
            <sz val="10"/>
            <color indexed="8"/>
            <rFont val="Arial"/>
            <family val="2"/>
          </rPr>
          <t>WSECLibrary.xls</t>
        </r>
        <r>
          <rPr>
            <sz val="10"/>
            <color indexed="8"/>
            <rFont val="Arial"/>
            <family val="2"/>
          </rPr>
          <t xml:space="preserve"> file.  Only use the defaults when manufacturer data is not available. 
</t>
        </r>
      </text>
    </comment>
    <comment ref="H72" authorId="2" shapeId="0" xr:uid="{00000000-0006-0000-0500-00000E000000}">
      <text>
        <r>
          <rPr>
            <sz val="10"/>
            <color indexed="8"/>
            <rFont val="Arial"/>
            <family val="2"/>
          </rPr>
          <t>Qt.   Quantity</t>
        </r>
      </text>
    </comment>
    <comment ref="T72" authorId="2" shapeId="0" xr:uid="{00000000-0006-0000-0500-00000F000000}">
      <text>
        <r>
          <rPr>
            <b/>
            <sz val="10"/>
            <color indexed="8"/>
            <rFont val="Arial"/>
            <family val="2"/>
          </rPr>
          <t>Component Description: Exterior Doors</t>
        </r>
        <r>
          <rPr>
            <sz val="10"/>
            <color indexed="8"/>
            <rFont val="Arial"/>
            <family val="2"/>
          </rPr>
          <t xml:space="preserve">
- Use the pull down menu to select the component description that matches the design. The results will be displayed in the component description, Ref, and Door U columns. 
- It is recommended that you obtain descriptions and U-factors from the product manufacturer, Enter this data in the </t>
        </r>
        <r>
          <rPr>
            <i/>
            <sz val="10"/>
            <color indexed="8"/>
            <rFont val="Arial"/>
            <family val="2"/>
          </rPr>
          <t>WSECLibrary.xls</t>
        </r>
        <r>
          <rPr>
            <sz val="10"/>
            <color indexed="8"/>
            <rFont val="Arial"/>
            <family val="2"/>
          </rPr>
          <t xml:space="preserve"> file.  Only use the defaults when manufacturer data is not available. </t>
        </r>
      </text>
    </comment>
    <comment ref="W72" authorId="2" shapeId="0" xr:uid="{00000000-0006-0000-0500-000010000000}">
      <text>
        <r>
          <rPr>
            <sz val="10"/>
            <color indexed="8"/>
            <rFont val="Arial"/>
            <family val="2"/>
          </rPr>
          <t>Qt.   Quantity</t>
        </r>
      </text>
    </comment>
    <comment ref="K89" authorId="2" shapeId="0" xr:uid="{00000000-0006-0000-0500-000011000000}">
      <text>
        <r>
          <rPr>
            <b/>
            <sz val="10"/>
            <color indexed="8"/>
            <rFont val="Arial"/>
            <family val="2"/>
          </rPr>
          <t xml:space="preserve">Width and Height.  </t>
        </r>
        <r>
          <rPr>
            <sz val="10"/>
            <color indexed="8"/>
            <rFont val="Arial"/>
            <family val="2"/>
          </rPr>
          <t xml:space="preserve">Enter the dimensions of the rough opening for each glazing product.  
</t>
        </r>
      </text>
    </comment>
    <comment ref="Z89" authorId="2" shapeId="0" xr:uid="{00000000-0006-0000-0500-000012000000}">
      <text>
        <r>
          <rPr>
            <b/>
            <sz val="10"/>
            <color indexed="8"/>
            <rFont val="Arial"/>
            <family val="2"/>
          </rPr>
          <t xml:space="preserve">Width and Height.  </t>
        </r>
        <r>
          <rPr>
            <sz val="10"/>
            <color indexed="8"/>
            <rFont val="Arial"/>
            <family val="2"/>
          </rPr>
          <t xml:space="preserve">Enter the dimensions of the rough opening for each glazing product.  
</t>
        </r>
      </text>
    </comment>
    <comment ref="E90" authorId="2" shapeId="0" xr:uid="{00000000-0006-0000-0500-000013000000}">
      <text>
        <r>
          <rPr>
            <b/>
            <sz val="10"/>
            <color indexed="8"/>
            <rFont val="Arial"/>
            <family val="2"/>
          </rPr>
          <t xml:space="preserve">Component Description: Overhead Glazing 
- </t>
        </r>
        <r>
          <rPr>
            <sz val="10"/>
            <color indexed="8"/>
            <rFont val="Arial"/>
            <family val="2"/>
          </rPr>
          <t xml:space="preserve">Use the pull down menu to select the component description that matches the design. The results will be displayed in the component description, Ref, and Glazing U columns. 
- For glazing, it is recommended that you obtain NFRC test data from the glazing supplier.  Enter this data in the WSECLibrary.xls file.  Only use Appendix A when  manufacturer data is not available. 
</t>
        </r>
        <r>
          <rPr>
            <b/>
            <sz val="10"/>
            <color indexed="8"/>
            <rFont val="Arial"/>
            <family val="2"/>
          </rPr>
          <t xml:space="preserve">
</t>
        </r>
      </text>
    </comment>
    <comment ref="T90" authorId="2" shapeId="0" xr:uid="{00000000-0006-0000-0500-000014000000}">
      <text>
        <r>
          <rPr>
            <b/>
            <sz val="10"/>
            <color indexed="8"/>
            <rFont val="Arial"/>
            <family val="2"/>
          </rPr>
          <t xml:space="preserve">Component Description: Overhead Glazing 
- </t>
        </r>
        <r>
          <rPr>
            <sz val="10"/>
            <color indexed="8"/>
            <rFont val="Arial"/>
            <family val="2"/>
          </rPr>
          <t xml:space="preserve">Use the pull down menu to select the component description that matches the design. The results will be displayed in the component description, Ref, and Glazing U columns. 
- For glazing, it is recommended that you obtain NFRC test data from the glazing supplier.  Enter this data in the WSECLibrary.xls file.  Only use Appendix A when  manufacturer data is not available. 
</t>
        </r>
        <r>
          <rPr>
            <b/>
            <sz val="10"/>
            <color indexed="8"/>
            <rFont val="Arial"/>
            <family val="2"/>
          </rPr>
          <t xml:space="preserve">
</t>
        </r>
      </text>
    </comment>
    <comment ref="K101" authorId="2" shapeId="0" xr:uid="{00000000-0006-0000-0500-000015000000}">
      <text>
        <r>
          <rPr>
            <b/>
            <sz val="10"/>
            <color indexed="8"/>
            <rFont val="Arial"/>
            <family val="2"/>
          </rPr>
          <t xml:space="preserve">Width and Height.  </t>
        </r>
        <r>
          <rPr>
            <sz val="10"/>
            <color indexed="8"/>
            <rFont val="Arial"/>
            <family val="2"/>
          </rPr>
          <t xml:space="preserve">Enter the dimensions of the rough opening for each glazing product.  
</t>
        </r>
      </text>
    </comment>
    <comment ref="Z101" authorId="2" shapeId="0" xr:uid="{00000000-0006-0000-0500-000016000000}">
      <text>
        <r>
          <rPr>
            <b/>
            <sz val="10"/>
            <color indexed="8"/>
            <rFont val="Arial"/>
            <family val="2"/>
          </rPr>
          <t xml:space="preserve">Width and Height.  </t>
        </r>
        <r>
          <rPr>
            <sz val="10"/>
            <color indexed="8"/>
            <rFont val="Arial"/>
            <family val="2"/>
          </rPr>
          <t xml:space="preserve">Enter the dimensions of the rough opening for each glazing product.  
</t>
        </r>
      </text>
    </comment>
    <comment ref="D102" authorId="2" shapeId="0" xr:uid="{00000000-0006-0000-0500-000017000000}">
      <text>
        <r>
          <rPr>
            <b/>
            <sz val="10"/>
            <color indexed="8"/>
            <rFont val="Arial"/>
            <family val="2"/>
          </rPr>
          <t xml:space="preserve">Plan ID:  </t>
        </r>
        <r>
          <rPr>
            <sz val="10"/>
            <color indexed="8"/>
            <rFont val="Arial"/>
            <family val="2"/>
          </rPr>
          <t xml:space="preserve">Enter information that will help identify the component on the plans. For example, plan page, section number or schedule ID. </t>
        </r>
      </text>
    </comment>
    <comment ref="E102" authorId="2" shapeId="0" xr:uid="{00000000-0006-0000-0500-000018000000}">
      <text>
        <r>
          <rPr>
            <b/>
            <sz val="10"/>
            <color indexed="8"/>
            <rFont val="Arial"/>
            <family val="2"/>
          </rPr>
          <t xml:space="preserve">Component Description:
- </t>
        </r>
        <r>
          <rPr>
            <sz val="10"/>
            <color indexed="8"/>
            <rFont val="Arial"/>
            <family val="2"/>
          </rPr>
          <t xml:space="preserve">Use the pull down menu to select the component description that matches the design. The results will be displayed in the component description, Ref, and Glazing U columns. 
- For glazing, it is recommended that you obtain NFRC test data from the glazing supplier. Only use the Appendix A  defaults if manufacturer data is not available. Enter this data in the </t>
        </r>
        <r>
          <rPr>
            <i/>
            <sz val="10"/>
            <color indexed="8"/>
            <rFont val="Arial"/>
            <family val="2"/>
          </rPr>
          <t>WSECLibrary.xls</t>
        </r>
        <r>
          <rPr>
            <sz val="10"/>
            <color indexed="8"/>
            <rFont val="Arial"/>
            <family val="2"/>
          </rPr>
          <t xml:space="preserve"> file.  
</t>
        </r>
        <r>
          <rPr>
            <b/>
            <sz val="10"/>
            <color indexed="8"/>
            <rFont val="Arial"/>
            <family val="2"/>
          </rPr>
          <t xml:space="preserve">
</t>
        </r>
      </text>
    </comment>
    <comment ref="S102" authorId="2" shapeId="0" xr:uid="{00000000-0006-0000-0500-000019000000}">
      <text>
        <r>
          <rPr>
            <b/>
            <sz val="10"/>
            <color indexed="8"/>
            <rFont val="Arial"/>
            <family val="2"/>
          </rPr>
          <t xml:space="preserve">Plan ID:  </t>
        </r>
        <r>
          <rPr>
            <sz val="10"/>
            <color indexed="8"/>
            <rFont val="Arial"/>
            <family val="2"/>
          </rPr>
          <t xml:space="preserve">Enter information that will help identify the component on the plans. For example, plan page, section number or schedule ID. </t>
        </r>
      </text>
    </comment>
    <comment ref="T102" authorId="2" shapeId="0" xr:uid="{00000000-0006-0000-0500-00001A000000}">
      <text>
        <r>
          <rPr>
            <b/>
            <sz val="10"/>
            <color indexed="8"/>
            <rFont val="Arial"/>
            <family val="2"/>
          </rPr>
          <t xml:space="preserve">Component Description:
- </t>
        </r>
        <r>
          <rPr>
            <sz val="10"/>
            <color indexed="8"/>
            <rFont val="Arial"/>
            <family val="2"/>
          </rPr>
          <t xml:space="preserve">Use the pull down menu to select the component description that matches the design. The results will be displayed in the component description, Ref, and Glazing U columns. 
- For glazing, it is recommended that you obtain NFRC test data from the glazing supplier. Only use the Appendix A  defaults if manufacturer data is not available. Enter this data in the </t>
        </r>
        <r>
          <rPr>
            <i/>
            <sz val="10"/>
            <color indexed="8"/>
            <rFont val="Arial"/>
            <family val="2"/>
          </rPr>
          <t>WSECLibrary.xls</t>
        </r>
        <r>
          <rPr>
            <sz val="10"/>
            <color indexed="8"/>
            <rFont val="Arial"/>
            <family val="2"/>
          </rPr>
          <t xml:space="preserve"> file.  
</t>
        </r>
        <r>
          <rPr>
            <b/>
            <sz val="10"/>
            <color indexed="8"/>
            <rFont val="Arial"/>
            <family val="2"/>
          </rPr>
          <t xml:space="preserve">
</t>
        </r>
      </text>
    </comment>
    <comment ref="M170" authorId="2" shapeId="0" xr:uid="{00000000-0006-0000-0500-00001B000000}">
      <text>
        <r>
          <rPr>
            <b/>
            <sz val="10"/>
            <color indexed="8"/>
            <rFont val="Arial"/>
            <family val="2"/>
          </rPr>
          <t xml:space="preserve">Area:  </t>
        </r>
        <r>
          <rPr>
            <sz val="10"/>
            <color indexed="8"/>
            <rFont val="Arial"/>
            <family val="2"/>
          </rPr>
          <t xml:space="preserve">Enter the ceiling area located under attics,  Measure to the outside dimension of the wall.
See WSEC Chapter 2 definition, "Gross Roof/Ceiling Area" for complete definition. </t>
        </r>
        <r>
          <rPr>
            <b/>
            <sz val="10"/>
            <color indexed="8"/>
            <rFont val="Arial"/>
            <family val="2"/>
          </rPr>
          <t xml:space="preserve">
</t>
        </r>
        <r>
          <rPr>
            <sz val="10"/>
            <color indexed="8"/>
            <rFont val="Arial"/>
            <family val="2"/>
          </rPr>
          <t xml:space="preserve">
</t>
        </r>
      </text>
    </comment>
    <comment ref="AB170" authorId="2" shapeId="0" xr:uid="{00000000-0006-0000-0500-00001C000000}">
      <text>
        <r>
          <rPr>
            <b/>
            <sz val="10"/>
            <color indexed="8"/>
            <rFont val="Arial"/>
            <family val="2"/>
          </rPr>
          <t xml:space="preserve">Area:  </t>
        </r>
        <r>
          <rPr>
            <sz val="10"/>
            <color indexed="8"/>
            <rFont val="Arial"/>
            <family val="2"/>
          </rPr>
          <t xml:space="preserve">Enter the ceiling area located under attics,  Measure to the outside dimension of the wall.
See WSEC Chapter 2 definition, "Gross Roof/Ceiling Area" for complete definition. </t>
        </r>
        <r>
          <rPr>
            <b/>
            <sz val="10"/>
            <color indexed="8"/>
            <rFont val="Arial"/>
            <family val="2"/>
          </rPr>
          <t xml:space="preserve">
</t>
        </r>
        <r>
          <rPr>
            <sz val="10"/>
            <color indexed="8"/>
            <rFont val="Arial"/>
            <family val="2"/>
          </rPr>
          <t xml:space="preserve">
</t>
        </r>
      </text>
    </comment>
    <comment ref="E171" authorId="2" shapeId="0" xr:uid="{00000000-0006-0000-0500-00001D000000}">
      <text>
        <r>
          <rPr>
            <b/>
            <sz val="10"/>
            <color indexed="8"/>
            <rFont val="Arial"/>
            <family val="2"/>
          </rPr>
          <t xml:space="preserve">Component Description: Attic
</t>
        </r>
        <r>
          <rPr>
            <sz val="10"/>
            <color indexed="8"/>
            <rFont val="Arial"/>
            <family val="2"/>
          </rPr>
          <t xml:space="preserve">Use the pull down menu to select the component description that matches the design. The results will be displayed in the component description, Ref, and  U columns. 
Read the component descriptions in Appenxix A of the WSEC.  Select the description that matches the proposed design for the component.  
</t>
        </r>
        <r>
          <rPr>
            <b/>
            <sz val="10"/>
            <color indexed="8"/>
            <rFont val="Arial"/>
            <family val="2"/>
          </rPr>
          <t xml:space="preserve">
</t>
        </r>
      </text>
    </comment>
    <comment ref="T171" authorId="2" shapeId="0" xr:uid="{00000000-0006-0000-0500-00001E000000}">
      <text>
        <r>
          <rPr>
            <b/>
            <sz val="10"/>
            <color indexed="8"/>
            <rFont val="Arial"/>
            <family val="2"/>
          </rPr>
          <t xml:space="preserve">Component Description: Attic
</t>
        </r>
        <r>
          <rPr>
            <sz val="10"/>
            <color indexed="8"/>
            <rFont val="Arial"/>
            <family val="2"/>
          </rPr>
          <t xml:space="preserve">Use the pull down menu to select the component description that matches the design. The results will be displayed in the component description, Ref, and  U columns. 
Read the component descriptions in Appenxix A of the WSEC.  Select the description that matches the proposed design for the component.  
</t>
        </r>
        <r>
          <rPr>
            <b/>
            <sz val="10"/>
            <color indexed="8"/>
            <rFont val="Arial"/>
            <family val="2"/>
          </rPr>
          <t xml:space="preserve">
</t>
        </r>
      </text>
    </comment>
    <comment ref="M181" authorId="2" shapeId="0" xr:uid="{00000000-0006-0000-0500-00001F000000}">
      <text>
        <r>
          <rPr>
            <b/>
            <sz val="10"/>
            <color indexed="8"/>
            <rFont val="Arial"/>
            <family val="2"/>
          </rPr>
          <t xml:space="preserve">Net Area:  </t>
        </r>
        <r>
          <rPr>
            <sz val="10"/>
            <color indexed="8"/>
            <rFont val="Arial"/>
            <family val="2"/>
          </rPr>
          <t xml:space="preserve">Enter the wall area.  Measure using the outside dimension of the wall.
Subtract the door and window area from each wall to determine net area.
</t>
        </r>
        <r>
          <rPr>
            <b/>
            <sz val="10"/>
            <color indexed="8"/>
            <rFont val="Arial"/>
            <family val="2"/>
          </rPr>
          <t xml:space="preserve">
</t>
        </r>
        <r>
          <rPr>
            <sz val="10"/>
            <color indexed="8"/>
            <rFont val="Arial"/>
            <family val="2"/>
          </rPr>
          <t xml:space="preserve">
</t>
        </r>
      </text>
    </comment>
    <comment ref="AB181" authorId="2" shapeId="0" xr:uid="{00000000-0006-0000-0500-000020000000}">
      <text>
        <r>
          <rPr>
            <b/>
            <sz val="10"/>
            <color indexed="8"/>
            <rFont val="Arial"/>
            <family val="2"/>
          </rPr>
          <t xml:space="preserve">Net Area:  </t>
        </r>
        <r>
          <rPr>
            <sz val="10"/>
            <color indexed="8"/>
            <rFont val="Arial"/>
            <family val="2"/>
          </rPr>
          <t xml:space="preserve">Enter the wall area.  Measure using the outside dimension of the wall.
Subtract the door and window area from each wall to determine net area.
</t>
        </r>
        <r>
          <rPr>
            <b/>
            <sz val="10"/>
            <color indexed="8"/>
            <rFont val="Arial"/>
            <family val="2"/>
          </rPr>
          <t xml:space="preserve">
</t>
        </r>
        <r>
          <rPr>
            <sz val="10"/>
            <color indexed="8"/>
            <rFont val="Arial"/>
            <family val="2"/>
          </rPr>
          <t xml:space="preserve">
</t>
        </r>
      </text>
    </comment>
    <comment ref="E182" authorId="2" shapeId="0" xr:uid="{00000000-0006-0000-0500-000021000000}">
      <text>
        <r>
          <rPr>
            <b/>
            <sz val="10"/>
            <color indexed="8"/>
            <rFont val="Arial"/>
            <family val="2"/>
          </rPr>
          <t>Component Description: Walls Above Grade
-</t>
        </r>
        <r>
          <rPr>
            <sz val="10"/>
            <color indexed="8"/>
            <rFont val="Arial"/>
            <family val="2"/>
          </rPr>
          <t xml:space="preserve">Use the pull down menu to select the component description that matches the design. The results will be displayed in the component description, Ref, and  U columns. 
 - Read the component descriptions in Appendix A of the WSEC.  Select the description that matches the proposed design for the component.  
</t>
        </r>
        <r>
          <rPr>
            <b/>
            <sz val="10"/>
            <color indexed="8"/>
            <rFont val="Arial"/>
            <family val="2"/>
          </rPr>
          <t xml:space="preserve">
</t>
        </r>
      </text>
    </comment>
    <comment ref="T182" authorId="2" shapeId="0" xr:uid="{00000000-0006-0000-0500-000022000000}">
      <text>
        <r>
          <rPr>
            <b/>
            <sz val="10"/>
            <color indexed="8"/>
            <rFont val="Arial"/>
            <family val="2"/>
          </rPr>
          <t>Component Description: Walls Above Grade
-</t>
        </r>
        <r>
          <rPr>
            <sz val="10"/>
            <color indexed="8"/>
            <rFont val="Arial"/>
            <family val="2"/>
          </rPr>
          <t xml:space="preserve">Use the pull down menu to select the component description that matches the design. The results will be displayed in the component description, Ref, and  U columns. 
 - Read the component descriptions in Appendix A of the WSEC.  Select the description that matches the proposed design for the component.  
</t>
        </r>
        <r>
          <rPr>
            <b/>
            <sz val="10"/>
            <color indexed="8"/>
            <rFont val="Arial"/>
            <family val="2"/>
          </rPr>
          <t xml:space="preserve">
</t>
        </r>
      </text>
    </comment>
    <comment ref="L192" authorId="1" shapeId="0" xr:uid="{00000000-0006-0000-0500-000023000000}">
      <text>
        <r>
          <rPr>
            <b/>
            <sz val="9"/>
            <color indexed="81"/>
            <rFont val="Tahoma"/>
            <family val="2"/>
          </rPr>
          <t xml:space="preserve">Gross Wall Area </t>
        </r>
        <r>
          <rPr>
            <sz val="9"/>
            <color indexed="81"/>
            <rFont val="Tahoma"/>
            <family val="2"/>
          </rPr>
          <t>is the net wall area plus the areas of vertical glazing and doors</t>
        </r>
      </text>
    </comment>
    <comment ref="AA192" authorId="1" shapeId="0" xr:uid="{00000000-0006-0000-0500-000024000000}">
      <text>
        <r>
          <rPr>
            <b/>
            <sz val="9"/>
            <color indexed="81"/>
            <rFont val="Tahoma"/>
            <family val="2"/>
          </rPr>
          <t xml:space="preserve">Gross Wall Area </t>
        </r>
        <r>
          <rPr>
            <sz val="9"/>
            <color indexed="81"/>
            <rFont val="Tahoma"/>
            <family val="2"/>
          </rPr>
          <t>is the net wall area plus the areas of vertical glazing and doors</t>
        </r>
      </text>
    </comment>
    <comment ref="M197" authorId="2" shapeId="0" xr:uid="{00000000-0006-0000-0500-000025000000}">
      <text>
        <r>
          <rPr>
            <b/>
            <sz val="10"/>
            <color indexed="8"/>
            <rFont val="Arial"/>
            <family val="2"/>
          </rPr>
          <t xml:space="preserve">Area:  </t>
        </r>
        <r>
          <rPr>
            <sz val="10"/>
            <color indexed="8"/>
            <rFont val="Arial"/>
            <family val="2"/>
          </rPr>
          <t xml:space="preserve">Enter the net wall area.  Measure to the outside dimension.
See WSEC Chapter 2 definition, "Gross Floor Area" for complete definition. </t>
        </r>
        <r>
          <rPr>
            <b/>
            <sz val="10"/>
            <color indexed="8"/>
            <rFont val="Arial"/>
            <family val="2"/>
          </rPr>
          <t xml:space="preserve">
</t>
        </r>
        <r>
          <rPr>
            <sz val="10"/>
            <color indexed="8"/>
            <rFont val="Arial"/>
            <family val="2"/>
          </rPr>
          <t xml:space="preserve">
</t>
        </r>
      </text>
    </comment>
    <comment ref="AB197" authorId="2" shapeId="0" xr:uid="{00000000-0006-0000-0500-000026000000}">
      <text>
        <r>
          <rPr>
            <b/>
            <sz val="10"/>
            <color indexed="8"/>
            <rFont val="Arial"/>
            <family val="2"/>
          </rPr>
          <t xml:space="preserve">Area:  </t>
        </r>
        <r>
          <rPr>
            <sz val="10"/>
            <color indexed="8"/>
            <rFont val="Arial"/>
            <family val="2"/>
          </rPr>
          <t xml:space="preserve">Enter the net wall area.  Measure to the outside dimension.
See WSEC Chapter 2 definition, "Gross Floor Area" for complete definition. </t>
        </r>
        <r>
          <rPr>
            <b/>
            <sz val="10"/>
            <color indexed="8"/>
            <rFont val="Arial"/>
            <family val="2"/>
          </rPr>
          <t xml:space="preserve">
</t>
        </r>
        <r>
          <rPr>
            <sz val="10"/>
            <color indexed="8"/>
            <rFont val="Arial"/>
            <family val="2"/>
          </rPr>
          <t xml:space="preserve">
</t>
        </r>
      </text>
    </comment>
    <comment ref="E198" authorId="2" shapeId="0" xr:uid="{00000000-0006-0000-0500-000027000000}">
      <text>
        <r>
          <rPr>
            <b/>
            <sz val="10"/>
            <color indexed="8"/>
            <rFont val="Arial"/>
            <family val="2"/>
          </rPr>
          <t xml:space="preserve">Component Description: Floor 
  </t>
        </r>
        <r>
          <rPr>
            <sz val="10"/>
            <color indexed="8"/>
            <rFont val="Arial"/>
            <family val="2"/>
          </rPr>
          <t xml:space="preserve">Use the pull down menu to select the component description that matches the design. The results will be displayed in the component description, Ref, and  U columns. 
-Read the component descriptions in Appendix A of the WSEC.  Select the description that matches the proposed design for the component. 
</t>
        </r>
        <r>
          <rPr>
            <b/>
            <sz val="10"/>
            <color indexed="8"/>
            <rFont val="Arial"/>
            <family val="2"/>
          </rPr>
          <t xml:space="preserve">
</t>
        </r>
      </text>
    </comment>
    <comment ref="T198" authorId="2" shapeId="0" xr:uid="{00000000-0006-0000-0500-000028000000}">
      <text>
        <r>
          <rPr>
            <b/>
            <sz val="10"/>
            <color indexed="8"/>
            <rFont val="Arial"/>
            <family val="2"/>
          </rPr>
          <t xml:space="preserve">Component Description: Floor 
  </t>
        </r>
        <r>
          <rPr>
            <sz val="10"/>
            <color indexed="8"/>
            <rFont val="Arial"/>
            <family val="2"/>
          </rPr>
          <t xml:space="preserve">Use the pull down menu to select the component description that matches the design. The results will be displayed in the component description, Ref, and  U columns. 
-Read the component descriptions in Appendix A of the WSEC.  Select the description that matches the proposed design for the component. 
</t>
        </r>
        <r>
          <rPr>
            <b/>
            <sz val="10"/>
            <color indexed="8"/>
            <rFont val="Arial"/>
            <family val="2"/>
          </rPr>
          <t xml:space="preserve">
</t>
        </r>
      </text>
    </comment>
    <comment ref="M208" authorId="2" shapeId="0" xr:uid="{00000000-0006-0000-0500-000029000000}">
      <text>
        <r>
          <rPr>
            <b/>
            <sz val="10"/>
            <color indexed="8"/>
            <rFont val="Arial"/>
            <family val="2"/>
          </rPr>
          <t xml:space="preserve">Slab-on-Grade Perimeter: </t>
        </r>
        <r>
          <rPr>
            <sz val="10"/>
            <color indexed="8"/>
            <rFont val="Arial"/>
            <family val="2"/>
          </rPr>
          <t xml:space="preserve">Enter the length of the slab perimeter, measured from the exterior dimension.
</t>
        </r>
      </text>
    </comment>
    <comment ref="E209" authorId="2" shapeId="0" xr:uid="{00000000-0006-0000-0500-00002A000000}">
      <text>
        <r>
          <rPr>
            <b/>
            <sz val="10"/>
            <color indexed="8"/>
            <rFont val="Arial"/>
            <family val="2"/>
          </rPr>
          <t xml:space="preserve">Component Description: Slab on Grade
- </t>
        </r>
        <r>
          <rPr>
            <sz val="10"/>
            <color indexed="8"/>
            <rFont val="Arial"/>
            <family val="2"/>
          </rPr>
          <t xml:space="preserve">Use the pull down menu to select the component description that matches the design. The results will be displayed in the component description, Ref, and  F columns. 
- Read the component descriptions in Appendix A of the WSEC.  Select the description that matches the proposed design for the component.  
</t>
        </r>
        <r>
          <rPr>
            <b/>
            <sz val="10"/>
            <color indexed="8"/>
            <rFont val="Arial"/>
            <family val="2"/>
          </rPr>
          <t xml:space="preserve">
</t>
        </r>
      </text>
    </comment>
    <comment ref="T209" authorId="2" shapeId="0" xr:uid="{00000000-0006-0000-0500-00002B000000}">
      <text>
        <r>
          <rPr>
            <b/>
            <sz val="10"/>
            <color indexed="8"/>
            <rFont val="Arial"/>
            <family val="2"/>
          </rPr>
          <t xml:space="preserve">Component Description: Slab on Grade
- </t>
        </r>
        <r>
          <rPr>
            <sz val="10"/>
            <color indexed="8"/>
            <rFont val="Arial"/>
            <family val="2"/>
          </rPr>
          <t xml:space="preserve">Use the pull down menu to select the component description that matches the design. The results will be displayed in the component description, Ref, and  F columns. 
- Read the component descriptions in Appendix A of the WSEC.  Select the description that matches the proposed design for the component.  
</t>
        </r>
        <r>
          <rPr>
            <b/>
            <sz val="10"/>
            <color indexed="8"/>
            <rFont val="Arial"/>
            <family val="2"/>
          </rPr>
          <t xml:space="preserve">
</t>
        </r>
      </text>
    </comment>
    <comment ref="AB209" authorId="2" shapeId="0" xr:uid="{00000000-0006-0000-0500-00002C000000}">
      <text>
        <r>
          <rPr>
            <b/>
            <sz val="10"/>
            <color indexed="8"/>
            <rFont val="Arial"/>
            <family val="2"/>
          </rPr>
          <t xml:space="preserve">Slab-on-Grade Perimeter: </t>
        </r>
        <r>
          <rPr>
            <sz val="10"/>
            <color indexed="8"/>
            <rFont val="Arial"/>
            <family val="2"/>
          </rPr>
          <t xml:space="preserve">Enter the length of the slab perimeter, measured from the exterior dimension.
</t>
        </r>
      </text>
    </comment>
    <comment ref="M219" authorId="2" shapeId="0" xr:uid="{00000000-0006-0000-0500-00002D000000}">
      <text>
        <r>
          <rPr>
            <b/>
            <sz val="10"/>
            <color indexed="8"/>
            <rFont val="Arial"/>
            <family val="2"/>
          </rPr>
          <t xml:space="preserve">Slab-on-Grade Perimeter: </t>
        </r>
        <r>
          <rPr>
            <sz val="10"/>
            <color indexed="8"/>
            <rFont val="Arial"/>
            <family val="2"/>
          </rPr>
          <t xml:space="preserve">Enter the length of the slab perimeter, measured from the exterior dimension.
</t>
        </r>
      </text>
    </comment>
    <comment ref="E220" authorId="2" shapeId="0" xr:uid="{00000000-0006-0000-0500-00002E000000}">
      <text>
        <r>
          <rPr>
            <b/>
            <sz val="10"/>
            <color indexed="8"/>
            <rFont val="Arial"/>
            <family val="2"/>
          </rPr>
          <t xml:space="preserve">Component Description: Below Grade Wall and Slab, insulated on the interior. 
- </t>
        </r>
        <r>
          <rPr>
            <sz val="10"/>
            <color indexed="8"/>
            <rFont val="Arial"/>
            <family val="2"/>
          </rPr>
          <t xml:space="preserve">Use the pull down menu to select the component description that matches the design. The results will be displayed in the component description, Ref, and  F column.
- Read the component descriptions in Appendix A of the WSEC.  Select the description that matches the proposed design for the component.  
</t>
        </r>
      </text>
    </comment>
    <comment ref="F220" authorId="2" shapeId="0" xr:uid="{00000000-0006-0000-0500-00002F000000}">
      <text>
        <r>
          <rPr>
            <b/>
            <sz val="10"/>
            <color indexed="8"/>
            <rFont val="Arial"/>
            <family val="2"/>
          </rPr>
          <t xml:space="preserve">Below-Grade-Slab Depth:  </t>
        </r>
        <r>
          <rPr>
            <sz val="10"/>
            <color indexed="8"/>
            <rFont val="Arial"/>
            <family val="2"/>
          </rPr>
          <t xml:space="preserve">Enter the nearest depth of the slab -- 2, 3.5 or 7 feet deep.  </t>
        </r>
      </text>
    </comment>
    <comment ref="I220" authorId="2" shapeId="0" xr:uid="{00000000-0006-0000-0500-000030000000}">
      <text>
        <r>
          <rPr>
            <b/>
            <sz val="10"/>
            <color indexed="8"/>
            <rFont val="Arial"/>
            <family val="2"/>
          </rPr>
          <t xml:space="preserve">Below-Grade-Wall Area:  </t>
        </r>
        <r>
          <rPr>
            <sz val="10"/>
            <color indexed="8"/>
            <rFont val="Arial"/>
            <family val="2"/>
          </rPr>
          <t xml:space="preserve">Enter the net wall area.  Measure to the outside dimension.
See WSEC Chapter 2 definition, "Below Grade Walls "for complete definition. </t>
        </r>
        <r>
          <rPr>
            <b/>
            <sz val="10"/>
            <color indexed="8"/>
            <rFont val="Arial"/>
            <family val="2"/>
          </rPr>
          <t xml:space="preserve">
</t>
        </r>
        <r>
          <rPr>
            <sz val="10"/>
            <color indexed="8"/>
            <rFont val="Arial"/>
            <family val="2"/>
          </rPr>
          <t xml:space="preserve">
Below-grade wall U-factors are only valid when used with the accompanying below-grade slab F-factor, and vice versa.</t>
        </r>
      </text>
    </comment>
    <comment ref="T220" authorId="2" shapeId="0" xr:uid="{00000000-0006-0000-0500-000031000000}">
      <text>
        <r>
          <rPr>
            <b/>
            <sz val="10"/>
            <color indexed="8"/>
            <rFont val="Arial"/>
            <family val="2"/>
          </rPr>
          <t xml:space="preserve">Component Description: Below Grade Wall and Slab, insulated on the interior. 
- </t>
        </r>
        <r>
          <rPr>
            <sz val="10"/>
            <color indexed="8"/>
            <rFont val="Arial"/>
            <family val="2"/>
          </rPr>
          <t xml:space="preserve">Use the pull down menu to select the component description that matches the design. The results will be displayed in the component description, Ref, and  F column.
- Read the component descriptions in Appendix A of the WSEC.  Select the description that matches the proposed design for the component.  
</t>
        </r>
      </text>
    </comment>
    <comment ref="U220" authorId="2" shapeId="0" xr:uid="{00000000-0006-0000-0500-000032000000}">
      <text>
        <r>
          <rPr>
            <b/>
            <sz val="10"/>
            <color indexed="8"/>
            <rFont val="Arial"/>
            <family val="2"/>
          </rPr>
          <t xml:space="preserve">Below-Grade-Slab Depth:  </t>
        </r>
        <r>
          <rPr>
            <sz val="10"/>
            <color indexed="8"/>
            <rFont val="Arial"/>
            <family val="2"/>
          </rPr>
          <t xml:space="preserve">Enter the nearest depth of the slab -- 2, 3.5 or 7 feet deep.  </t>
        </r>
      </text>
    </comment>
    <comment ref="X220" authorId="2" shapeId="0" xr:uid="{00000000-0006-0000-0500-000033000000}">
      <text>
        <r>
          <rPr>
            <b/>
            <sz val="10"/>
            <color indexed="8"/>
            <rFont val="Arial"/>
            <family val="2"/>
          </rPr>
          <t xml:space="preserve">Below-Grade-Wall Area:  </t>
        </r>
        <r>
          <rPr>
            <sz val="10"/>
            <color indexed="8"/>
            <rFont val="Arial"/>
            <family val="2"/>
          </rPr>
          <t xml:space="preserve">Enter the net wall area.  Measure to the outside dimension.
See WSEC Chapter 2 definition, "Below Grade Walls "for complete definition. </t>
        </r>
        <r>
          <rPr>
            <b/>
            <sz val="10"/>
            <color indexed="8"/>
            <rFont val="Arial"/>
            <family val="2"/>
          </rPr>
          <t xml:space="preserve">
</t>
        </r>
        <r>
          <rPr>
            <sz val="10"/>
            <color indexed="8"/>
            <rFont val="Arial"/>
            <family val="2"/>
          </rPr>
          <t xml:space="preserve">
Below-grade wall U-factors are only valid when used with the accompanying below-grade slab F-factor, and vice versa.</t>
        </r>
      </text>
    </comment>
    <comment ref="AB220" authorId="2" shapeId="0" xr:uid="{00000000-0006-0000-0500-000034000000}">
      <text>
        <r>
          <rPr>
            <b/>
            <sz val="10"/>
            <color indexed="8"/>
            <rFont val="Arial"/>
            <family val="2"/>
          </rPr>
          <t xml:space="preserve">Below-Grade-Slab Perimeter: </t>
        </r>
        <r>
          <rPr>
            <sz val="10"/>
            <color indexed="8"/>
            <rFont val="Arial"/>
            <family val="2"/>
          </rPr>
          <t xml:space="preserve">Enter the length of the slab perimeter, measured from the exterior dimension.
Below-grade wall U-factors are only valid when used with the accompanying below-grade slab F-factor, and vice versa.
</t>
        </r>
      </text>
    </comment>
    <comment ref="E245" authorId="1" shapeId="0" xr:uid="{00000000-0006-0000-0500-000035000000}">
      <text>
        <r>
          <rPr>
            <sz val="9"/>
            <color indexed="81"/>
            <rFont val="Tahoma"/>
            <family val="2"/>
          </rPr>
          <t xml:space="preserve">BALANCED WHOLE-HOUSE VENTILATION. Balanced whole-house ventilation is defined as any combination of concurrently operating residential unit mechanical exhaust and mechanical supply whereby </t>
        </r>
        <r>
          <rPr>
            <b/>
            <sz val="9"/>
            <color indexed="81"/>
            <rFont val="Tahoma"/>
            <family val="2"/>
          </rPr>
          <t>the total mechanical exhaust airflow rate is within 10% or 5 cfm, whichever is greater, of the total mechanical supply airflow rate</t>
        </r>
        <r>
          <rPr>
            <sz val="9"/>
            <color indexed="81"/>
            <rFont val="Tahoma"/>
            <family val="2"/>
          </rPr>
          <t>. Intermittent dryer exhaust, intermittent range hood exhaust, and intermittent toilet room exhaust airflow rates above the residential dwelling or sleeping unit minimum ventilation rate are exempt from the balanced airflow calculation.</t>
        </r>
      </text>
    </comment>
    <comment ref="E246" authorId="1" shapeId="0" xr:uid="{00000000-0006-0000-0500-000036000000}">
      <text>
        <r>
          <rPr>
            <sz val="9"/>
            <color indexed="81"/>
            <rFont val="Tahoma"/>
            <family val="2"/>
          </rPr>
          <t xml:space="preserve">DISTRIBUTED WHOLE-HOUSE VENTILATION. A whole-house ventilation system shall be considered distributed when it </t>
        </r>
        <r>
          <rPr>
            <b/>
            <sz val="9"/>
            <color indexed="81"/>
            <rFont val="Tahoma"/>
            <family val="2"/>
          </rPr>
          <t>supplies outdoor air directly (not transfer air) to each dwelling or sleeping unit habitable space (living room, den, office, interior adjoining spaces or bedroom), and exhausts air from all kitchens and bathrooms directly outside</t>
        </r>
        <r>
          <rPr>
            <sz val="9"/>
            <color indexed="81"/>
            <rFont val="Tahoma"/>
            <family val="2"/>
          </rPr>
          <t>.</t>
        </r>
      </text>
    </comment>
    <comment ref="D271" authorId="3" shapeId="0" xr:uid="{00000000-0006-0000-0500-000037000000}">
      <text>
        <r>
          <rPr>
            <b/>
            <sz val="10"/>
            <color indexed="8"/>
            <rFont val="Arial"/>
            <family val="2"/>
          </rPr>
          <t>For prelimiary sizing for plan review only:</t>
        </r>
        <r>
          <rPr>
            <sz val="10"/>
            <color indexed="8"/>
            <rFont val="Arial"/>
            <family val="2"/>
          </rPr>
          <t xml:space="preserve">
* This calculator only sizes central heating systems; it will not accurately size cooling systems.
*  Does not acurrately size heat pumps.  
*  Does not accurately size zonal systems
* Work with your licensed HVAC contractor and/or heat pump manufacturer to ensure proper sizing. </t>
        </r>
      </text>
    </comment>
    <comment ref="I592" authorId="4" shapeId="0" xr:uid="{00000000-0006-0000-0500-000038000000}">
      <text>
        <r>
          <rPr>
            <sz val="9"/>
            <color indexed="81"/>
            <rFont val="Tahoma"/>
            <family val="2"/>
          </rPr>
          <t xml:space="preserve">0.5 credit for each 1200kWh of electrical generation provided annually, up to 3 credits max. Please refer to full requirements in table R406.2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6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7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8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9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A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B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B6" authorId="0" shapeId="0" xr:uid="{00000000-0006-0000-0C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Carolyn Roos</author>
  </authors>
  <commentList>
    <comment ref="C5" authorId="0" shapeId="0" xr:uid="{00000000-0006-0000-0D00-000001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 ref="C158" authorId="0" shapeId="0" xr:uid="{00000000-0006-0000-0D00-000002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 ref="F158" authorId="0" shapeId="0" xr:uid="{00000000-0006-0000-0D00-000003000000}">
      <text>
        <r>
          <rPr>
            <sz val="9"/>
            <color indexed="81"/>
            <rFont val="Tahoma"/>
            <family val="2"/>
          </rPr>
          <t xml:space="preserve">On each data tab we have created a “Most Frequently Used” section at the top, which appears on drop down menus and includes the most commonly selected items. 
Most of the items in this top section are intentionally duplicates of items from the more extensive list below.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Benjamin Hannas</author>
  </authors>
  <commentList>
    <comment ref="C3" authorId="0" shapeId="0" xr:uid="{00000000-0006-0000-1000-000001000000}">
      <text>
        <r>
          <rPr>
            <b/>
            <sz val="9"/>
            <color indexed="81"/>
            <rFont val="Tahoma"/>
            <family val="2"/>
          </rPr>
          <t>Benjamin Hannas:</t>
        </r>
        <r>
          <rPr>
            <sz val="9"/>
            <color indexed="81"/>
            <rFont val="Tahoma"/>
            <family val="2"/>
          </rPr>
          <t xml:space="preserve">
These are only the initial values. In the code, SEEM should be run twice to get the proper sizing.</t>
        </r>
      </text>
    </comment>
    <comment ref="D3" authorId="0" shapeId="0" xr:uid="{00000000-0006-0000-1000-000002000000}">
      <text>
        <r>
          <rPr>
            <b/>
            <sz val="9"/>
            <color indexed="81"/>
            <rFont val="Tahoma"/>
            <family val="2"/>
          </rPr>
          <t>Benjamin Hannas:</t>
        </r>
        <r>
          <rPr>
            <sz val="9"/>
            <color indexed="81"/>
            <rFont val="Tahoma"/>
            <family val="2"/>
          </rPr>
          <t xml:space="preserve">
These are only the initial values. In the code, SEEM should be run twice to get the proper sizing.</t>
        </r>
      </text>
    </comment>
    <comment ref="AZ3" authorId="0" shapeId="0" xr:uid="{00000000-0006-0000-1000-000003000000}">
      <text>
        <r>
          <rPr>
            <b/>
            <sz val="9"/>
            <color indexed="81"/>
            <rFont val="Tahoma"/>
            <family val="2"/>
          </rPr>
          <t>Benjamin Hannas:</t>
        </r>
        <r>
          <rPr>
            <sz val="9"/>
            <color indexed="81"/>
            <rFont val="Tahoma"/>
            <family val="2"/>
          </rPr>
          <t xml:space="preserve">
For now, this just needs to be 1500, 5000, or 9999, based on max sqft categories from wa options table</t>
        </r>
      </text>
    </comment>
  </commentList>
</comments>
</file>

<file path=xl/sharedStrings.xml><?xml version="1.0" encoding="utf-8"?>
<sst xmlns="http://schemas.openxmlformats.org/spreadsheetml/2006/main" count="8764" uniqueCount="3273">
  <si>
    <t>Int Concrete Floors, R-5 Ext., 6"wall</t>
  </si>
  <si>
    <t>Int Concrete, Floors R-6 Ext., 6"wall</t>
  </si>
  <si>
    <t>Int Concrete, Floors R-7 Ext., 6"wall</t>
  </si>
  <si>
    <t>Int Concrete, Floors R-8 Ext., 6"wall</t>
  </si>
  <si>
    <t>Int Concrete, Floors R-9 Ext., 6"wall</t>
  </si>
  <si>
    <t>Int Concrete, Floors R-10 Ext., 6"wall</t>
  </si>
  <si>
    <t>Int Concrete Floors, Exposed Concrete,8"wall</t>
  </si>
  <si>
    <t>Int Concrete Floors, R-5 Ext., 8"wall</t>
  </si>
  <si>
    <t>Int Concrete, Floors R-6 Ext., 8"wall</t>
  </si>
  <si>
    <t>Int Concrete, Floors R-7 Ext., 8"wall</t>
  </si>
  <si>
    <t>Int Concrete, Floors R-8 Ext., 8"wall</t>
  </si>
  <si>
    <t>Int Concrete, Floors R-9 Ext., 8"wall</t>
  </si>
  <si>
    <t>Int Concrete, Floors R-10 Ext., 8"wall</t>
  </si>
  <si>
    <t>Int Concrete Floors, Exposed Concrete,10"wall</t>
  </si>
  <si>
    <t>Int Concrete Floors, R-5 Ext., 10"wall</t>
  </si>
  <si>
    <t>Int Concrete, Floors R-6 Ext., 10"wall</t>
  </si>
  <si>
    <t>Int Concrete, Floors R-7 Ext., 10"wall</t>
  </si>
  <si>
    <t>Int Concrete, Floors R-8 Ext., 10"wall</t>
  </si>
  <si>
    <t>Int Concrete, Floors R-9 Ext., 10"wall</t>
  </si>
  <si>
    <t>Int Concrete, Floors R-10 Ext., 10"wall</t>
  </si>
  <si>
    <t>Int Concrete Floors, Exposed Concrete,12"wall</t>
  </si>
  <si>
    <t>Int Concrete Floors, R-5 Ext., 12"wall</t>
  </si>
  <si>
    <t>Int Concrete, Floors R-6 Ext., 12"wall</t>
  </si>
  <si>
    <t>Int Concrete, Floors R-7 Ext., 12"wall</t>
  </si>
  <si>
    <t>Int Concrete, Floors R-8 Ext., 12"wall</t>
  </si>
  <si>
    <t>Int Concrete, Floors R-9 Ext., 12"wall</t>
  </si>
  <si>
    <t>Int Concrete, Floors R-10 Ext., 12"wall</t>
  </si>
  <si>
    <t>Floor U</t>
  </si>
  <si>
    <t>10-3</t>
  </si>
  <si>
    <t>R11 perim unvented Heated plenum</t>
  </si>
  <si>
    <t>10-4</t>
  </si>
  <si>
    <t>R19 perim unvented Heated plenum</t>
  </si>
  <si>
    <t>R30 perim unvented Heated plenum</t>
  </si>
  <si>
    <t>7.25" stress skin panel</t>
  </si>
  <si>
    <t>9.25" stress skin panel</t>
  </si>
  <si>
    <t>11.25" stress skin panel</t>
  </si>
  <si>
    <t>R11 Concrete Exposed</t>
  </si>
  <si>
    <t>10-4A</t>
  </si>
  <si>
    <t>R15 Concrete Exposed</t>
  </si>
  <si>
    <t>R19 Concrete Exposed</t>
  </si>
  <si>
    <t>R21 Concrete Exposed</t>
  </si>
  <si>
    <t>R25 Concrete Exposed</t>
  </si>
  <si>
    <t>R30 Concrete Exposed</t>
  </si>
  <si>
    <t>R38 Concrete Exposed</t>
  </si>
  <si>
    <t>R11 Wood Joist Exposed</t>
  </si>
  <si>
    <t>R15 Wood Joist Exposed</t>
  </si>
  <si>
    <t>R19 Wood Joist Exposed</t>
  </si>
  <si>
    <t>R21 Wood Joist Exposed</t>
  </si>
  <si>
    <t>R30 Wood Joist Exposed</t>
  </si>
  <si>
    <t>R38 Wood Joist Exposed</t>
  </si>
  <si>
    <t>R25 Wood Joist Exposed</t>
  </si>
  <si>
    <t>R11 Metal Joist Exposed</t>
  </si>
  <si>
    <t>R15 Metal Joist Exposed</t>
  </si>
  <si>
    <t>R19 Metal Joist Exposed</t>
  </si>
  <si>
    <t>R21 Metal Joist Exposed</t>
  </si>
  <si>
    <t>R25 Metal Joist Exposed</t>
  </si>
  <si>
    <t>R30 Metal Joist Exposed</t>
  </si>
  <si>
    <t>R38 Metal Joist Exposed</t>
  </si>
  <si>
    <t>R0  uninsulated</t>
  </si>
  <si>
    <t>10-2</t>
  </si>
  <si>
    <t>R5 2' vertical</t>
  </si>
  <si>
    <t>R7.5 2' vertical</t>
  </si>
  <si>
    <t>R10 2' vertical</t>
  </si>
  <si>
    <t>R15 2' vertical</t>
  </si>
  <si>
    <t>R5 4' vertical</t>
  </si>
  <si>
    <t>R7.5 4' vertical</t>
  </si>
  <si>
    <t>R10 4' vertical</t>
  </si>
  <si>
    <t>R15 4' vertical</t>
  </si>
  <si>
    <t>R5 2' horizontal w/TB</t>
  </si>
  <si>
    <t>R7.5 2' horizontal w/TB</t>
  </si>
  <si>
    <t>R10 2' horizontal w/TB</t>
  </si>
  <si>
    <t>R15 2' horizontal w/TB</t>
  </si>
  <si>
    <t>R5 4' horizontal w/TB</t>
  </si>
  <si>
    <t>R7.5 4' horizontal w/TB</t>
  </si>
  <si>
    <t>R10 4' horizontal w/TB</t>
  </si>
  <si>
    <t>R15 4' horizontal w/TB</t>
  </si>
  <si>
    <t>R5 Fully insulated</t>
  </si>
  <si>
    <t>R10 Fully insulated</t>
  </si>
  <si>
    <t>R15 Fully insulated</t>
  </si>
  <si>
    <t>R10 2' perim/R5 center</t>
  </si>
  <si>
    <t>R15 2' perim/R5 center</t>
  </si>
  <si>
    <t>R15 2' perim/R10 center</t>
  </si>
  <si>
    <t>R0  Uninsulated Heated</t>
  </si>
  <si>
    <t>R5 Fully insulated Heated</t>
  </si>
  <si>
    <t>R10 Fully insulated Heated</t>
  </si>
  <si>
    <t>R15 Fully insulated Heated</t>
  </si>
  <si>
    <t>R10 perim/R5 center Heated</t>
  </si>
  <si>
    <t>R15 perim/R5 center Heated</t>
  </si>
  <si>
    <t>R15 perim/R10 center Heated</t>
  </si>
  <si>
    <t>R10 3' vertical Heated</t>
  </si>
  <si>
    <t>Slab F</t>
  </si>
  <si>
    <t>10-1</t>
  </si>
  <si>
    <t>Location</t>
  </si>
  <si>
    <t>Heating</t>
  </si>
  <si>
    <t>Design</t>
  </si>
  <si>
    <t>Temp</t>
  </si>
  <si>
    <t>Difference</t>
  </si>
  <si>
    <t>Aberdeen 20 NNE</t>
  </si>
  <si>
    <t>Anacortes</t>
  </si>
  <si>
    <t>Anatone</t>
  </si>
  <si>
    <t>Appleton</t>
  </si>
  <si>
    <t>Auburn</t>
  </si>
  <si>
    <t>Battleground</t>
  </si>
  <si>
    <t>Bellevue</t>
  </si>
  <si>
    <t>Bellingham 2N</t>
  </si>
  <si>
    <t>Benton City 2 NW</t>
  </si>
  <si>
    <t>Bickleton</t>
  </si>
  <si>
    <t>Blaine</t>
  </si>
  <si>
    <t>Bothell 2 N</t>
  </si>
  <si>
    <t>Bremerton</t>
  </si>
  <si>
    <t>Brier</t>
  </si>
  <si>
    <t>Buckley 1 NE</t>
  </si>
  <si>
    <t>Bumping Lake</t>
  </si>
  <si>
    <t>Burlington</t>
  </si>
  <si>
    <t>Camas</t>
  </si>
  <si>
    <t>Castle Rock</t>
  </si>
  <si>
    <t>Cedar Lake</t>
  </si>
  <si>
    <t>Centralia</t>
  </si>
  <si>
    <t>Central Park</t>
  </si>
  <si>
    <t>Chehalis</t>
  </si>
  <si>
    <t>Chelan</t>
  </si>
  <si>
    <t>Cheney</t>
  </si>
  <si>
    <t>Chesaw</t>
  </si>
  <si>
    <t>Chewalah 2 S</t>
  </si>
  <si>
    <t>Chief Joseph Dam</t>
  </si>
  <si>
    <t>Clallam Bay 1 NNE</t>
  </si>
  <si>
    <t>Clarkston</t>
  </si>
  <si>
    <t>Clearbrook</t>
  </si>
  <si>
    <t>Clearwater</t>
  </si>
  <si>
    <t>Cle Elum</t>
  </si>
  <si>
    <t>Clyde Hill</t>
  </si>
  <si>
    <t>Colfax 1 NW</t>
  </si>
  <si>
    <t>College Place</t>
  </si>
  <si>
    <t>Colville AP</t>
  </si>
  <si>
    <t>Conconully</t>
  </si>
  <si>
    <t>Concrete</t>
  </si>
  <si>
    <t>Connell 4 NNW</t>
  </si>
  <si>
    <t>Cougar 5 E</t>
  </si>
  <si>
    <t>Coulee Dam 1 SW</t>
  </si>
  <si>
    <t>Coupeville 1 S</t>
  </si>
  <si>
    <t>Cushman Dam</t>
  </si>
  <si>
    <t>Dallesport AP</t>
  </si>
  <si>
    <t>Darrington RS</t>
  </si>
  <si>
    <t>Davenport</t>
  </si>
  <si>
    <t>Dayton 1 WSW</t>
  </si>
  <si>
    <t>Deer Park 2 E</t>
  </si>
  <si>
    <t>Des Moines</t>
  </si>
  <si>
    <t>Diablo Dam</t>
  </si>
  <si>
    <t>Dishman</t>
  </si>
  <si>
    <t>East Bremerton</t>
  </si>
  <si>
    <t>Edmonds</t>
  </si>
  <si>
    <t>Electron Headwks</t>
  </si>
  <si>
    <t>Ellensburg AP</t>
  </si>
  <si>
    <t>Elma</t>
  </si>
  <si>
    <t>Eltopia 6 W</t>
  </si>
  <si>
    <t>Elwha RS</t>
  </si>
  <si>
    <t>Enumclaw</t>
  </si>
  <si>
    <t>Ephrata AP</t>
  </si>
  <si>
    <t>Everett JC</t>
  </si>
  <si>
    <t>Everett Paine AFB</t>
  </si>
  <si>
    <t>Fircrest</t>
  </si>
  <si>
    <t>Forks I E</t>
  </si>
  <si>
    <t>Fort Lewis</t>
  </si>
  <si>
    <t>Fruitvale</t>
  </si>
  <si>
    <t>Glacier RS</t>
  </si>
  <si>
    <t>Glenoma (Kosmos)</t>
  </si>
  <si>
    <t>Goldendale</t>
  </si>
  <si>
    <t>Grandview</t>
  </si>
  <si>
    <t>Grapeview</t>
  </si>
  <si>
    <t>Grayland 2 S</t>
  </si>
  <si>
    <t>Grays River Hatchery</t>
  </si>
  <si>
    <t>Greenwater</t>
  </si>
  <si>
    <t>Grotto</t>
  </si>
  <si>
    <t>Harrington 2 S</t>
  </si>
  <si>
    <t>Hartline</t>
  </si>
  <si>
    <t>Hatton 8 E</t>
  </si>
  <si>
    <t>Holden Village</t>
  </si>
  <si>
    <t>Hoquiam AP</t>
  </si>
  <si>
    <t>Ice Harbor Dam</t>
  </si>
  <si>
    <t>Inchelium 2 NW</t>
  </si>
  <si>
    <t>Issaquah</t>
  </si>
  <si>
    <t>John Day Dam</t>
  </si>
  <si>
    <t>Kelso AP</t>
  </si>
  <si>
    <t>Kennewick 10 SW</t>
  </si>
  <si>
    <t>Kent</t>
  </si>
  <si>
    <t>Kid Valley</t>
  </si>
  <si>
    <t>Kirkland</t>
  </si>
  <si>
    <t>Lacey</t>
  </si>
  <si>
    <t>Lacrosse 3 ESE</t>
  </si>
  <si>
    <t>La Grande</t>
  </si>
  <si>
    <t>Lake Cle Elum</t>
  </si>
  <si>
    <t>Lake Forest Park</t>
  </si>
  <si>
    <t>Lake Kachess</t>
  </si>
  <si>
    <t>Lake Keechelus</t>
  </si>
  <si>
    <t>Lakewood Center</t>
  </si>
  <si>
    <t>Landsburg</t>
  </si>
  <si>
    <t>Larson AFB</t>
  </si>
  <si>
    <t>Laurier</t>
  </si>
  <si>
    <t>Leavenworth</t>
  </si>
  <si>
    <t>Lemanasky Lake</t>
  </si>
  <si>
    <t>Lind 3 NE</t>
  </si>
  <si>
    <t>Linwood</t>
  </si>
  <si>
    <t>Little Goose Dam</t>
  </si>
  <si>
    <t>Long Beach 3 NNE</t>
  </si>
  <si>
    <t>Longview</t>
  </si>
  <si>
    <t>Lower Granite Dam</t>
  </si>
  <si>
    <t>Lower Monument Dam</t>
  </si>
  <si>
    <t>Lynden</t>
  </si>
  <si>
    <t>Lynnwood</t>
  </si>
  <si>
    <t>Maloft</t>
  </si>
  <si>
    <t>Marietta 3 NNW</t>
  </si>
  <si>
    <t>Marysville</t>
  </si>
  <si>
    <t>McMillin Res.</t>
  </si>
  <si>
    <t>McNary Dam</t>
  </si>
  <si>
    <t>Medical Lake</t>
  </si>
  <si>
    <t>Medina</t>
  </si>
  <si>
    <t>Mercer Island</t>
  </si>
  <si>
    <t>Metaline Falls</t>
  </si>
  <si>
    <t>Methow 2 W</t>
  </si>
  <si>
    <t>Mountlake Terrace</t>
  </si>
  <si>
    <t>Mt. Spokane Summit</t>
  </si>
  <si>
    <t>Mount Vernon 3 WNW</t>
  </si>
  <si>
    <t>Moxee City 10 E</t>
  </si>
  <si>
    <t>Mud Mtn. Dam</t>
  </si>
  <si>
    <t>Nespelem 2 S</t>
  </si>
  <si>
    <t>Newhalem</t>
  </si>
  <si>
    <t>Newport</t>
  </si>
  <si>
    <t>Normandy Park</t>
  </si>
  <si>
    <t>Northport</t>
  </si>
  <si>
    <t>Oak Harbor</t>
  </si>
  <si>
    <t>Oakville</t>
  </si>
  <si>
    <t>Odessa</t>
  </si>
  <si>
    <t>Olga 2 SE</t>
  </si>
  <si>
    <t>Olympia, AP.</t>
  </si>
  <si>
    <t>Omak 2 NW</t>
  </si>
  <si>
    <t>Opportunity</t>
  </si>
  <si>
    <t>Oroville</t>
  </si>
  <si>
    <t>Othello</t>
  </si>
  <si>
    <t>Packwood</t>
  </si>
  <si>
    <t>Palmer 3 SE</t>
  </si>
  <si>
    <t>Parkland</t>
  </si>
  <si>
    <t>Pasco</t>
  </si>
  <si>
    <t>Plain</t>
  </si>
  <si>
    <t>Pleasant View</t>
  </si>
  <si>
    <t>Pt. Grenville</t>
  </si>
  <si>
    <t>Pomeroy</t>
  </si>
  <si>
    <t>Port Angeles</t>
  </si>
  <si>
    <t>Port Orchard</t>
  </si>
  <si>
    <t>Pon Townsend</t>
  </si>
  <si>
    <t>Priest Rapids Dam</t>
  </si>
  <si>
    <t>Prosser</t>
  </si>
  <si>
    <t>Pullman Exp. Sta.</t>
  </si>
  <si>
    <t>Puyallup</t>
  </si>
  <si>
    <t>Quilcene 2 SW</t>
  </si>
  <si>
    <t>Quillayute AP</t>
  </si>
  <si>
    <t>Quinault RS</t>
  </si>
  <si>
    <t>Quincy 1 NE</t>
  </si>
  <si>
    <t>Rainier, Longmire</t>
  </si>
  <si>
    <t>Paradise RS</t>
  </si>
  <si>
    <t>Raymond</t>
  </si>
  <si>
    <t>Redmond</t>
  </si>
  <si>
    <t>Renton</t>
  </si>
  <si>
    <t>Republic</t>
  </si>
  <si>
    <t>Richland</t>
  </si>
  <si>
    <t>Rimrock Tieton Dam</t>
  </si>
  <si>
    <t>Ritzville</t>
  </si>
  <si>
    <t>Rosalia</t>
  </si>
  <si>
    <t>Ross Dam</t>
  </si>
  <si>
    <t>St. John</t>
  </si>
  <si>
    <t>Sappho 8 E</t>
  </si>
  <si>
    <t>Satus Pass</t>
  </si>
  <si>
    <t>Seattle: Sea-Tac AP</t>
  </si>
  <si>
    <t>Sedro Woolley 1 E</t>
  </si>
  <si>
    <t>Selah</t>
  </si>
  <si>
    <t>Sequim</t>
  </si>
  <si>
    <t>Shelton</t>
  </si>
  <si>
    <t>Shoultes</t>
  </si>
  <si>
    <t>Skamania Fish Hatch.</t>
  </si>
  <si>
    <t>Smyrna</t>
  </si>
  <si>
    <t>Snohomish</t>
  </si>
  <si>
    <t>Snoqualmie Falls</t>
  </si>
  <si>
    <t>Snoqualmie Pass</t>
  </si>
  <si>
    <t>South Broadway</t>
  </si>
  <si>
    <t>So. Olympic Tree Farm</t>
  </si>
  <si>
    <t>Spanaway</t>
  </si>
  <si>
    <t>Spokane AP</t>
  </si>
  <si>
    <t>Spokane CO</t>
  </si>
  <si>
    <t>Spokane Fairchild AFB</t>
  </si>
  <si>
    <t>Sprague</t>
  </si>
  <si>
    <t>Stampede Pass</t>
  </si>
  <si>
    <t>Startup 1 E</t>
  </si>
  <si>
    <t>Stehekin 3 NW</t>
  </si>
  <si>
    <t>Steilacoom</t>
  </si>
  <si>
    <t>Stevens Pass</t>
  </si>
  <si>
    <t>Stockdill Ranch</t>
  </si>
  <si>
    <t>Sumner</t>
  </si>
  <si>
    <t>Sunnyside</t>
  </si>
  <si>
    <t>Tacoma McChord</t>
  </si>
  <si>
    <t>Tacoma CO</t>
  </si>
  <si>
    <t>Tatoosh Island</t>
  </si>
  <si>
    <t>Thompson Place</t>
  </si>
  <si>
    <t>Tietort Intake</t>
  </si>
  <si>
    <t>Toledo AP</t>
  </si>
  <si>
    <t>Toppenish</t>
  </si>
  <si>
    <t>Trinidad 2 SSE</t>
  </si>
  <si>
    <t>Tukwila</t>
  </si>
  <si>
    <t>Tumwater</t>
  </si>
  <si>
    <t>University Place</t>
  </si>
  <si>
    <t>Upper Baker Dam</t>
  </si>
  <si>
    <t>Vancouver</t>
  </si>
  <si>
    <t>Vashon Island</t>
  </si>
  <si>
    <t>Walla Walla AP</t>
  </si>
  <si>
    <t>Walla Walla CO</t>
  </si>
  <si>
    <t>Wapato</t>
  </si>
  <si>
    <t>Washougal 8 ENE</t>
  </si>
  <si>
    <t>Waterville</t>
  </si>
  <si>
    <t>Wawawai 2 NW</t>
  </si>
  <si>
    <t>Wellpinit</t>
  </si>
  <si>
    <t>Wenatchee AP</t>
  </si>
  <si>
    <t>Wenatchee CO</t>
  </si>
  <si>
    <t>West Clarkston</t>
  </si>
  <si>
    <t>Whidbey Island</t>
  </si>
  <si>
    <t>White River RS</t>
  </si>
  <si>
    <t>White Swan RS</t>
  </si>
  <si>
    <t>Whitman Mission</t>
  </si>
  <si>
    <t>Wilbur</t>
  </si>
  <si>
    <t>Willapa Harbor</t>
  </si>
  <si>
    <t>Wilson Creek</t>
  </si>
  <si>
    <t>Wind River</t>
  </si>
  <si>
    <t>Winthrop 1 WSW</t>
  </si>
  <si>
    <t>Yakima AP</t>
  </si>
  <si>
    <t>How to use the worksheets</t>
  </si>
  <si>
    <t>Copyright Worksheet</t>
  </si>
  <si>
    <t>These instructions</t>
  </si>
  <si>
    <t>The Library Worksheets</t>
  </si>
  <si>
    <t xml:space="preserve">   Vertical Glazing</t>
  </si>
  <si>
    <t xml:space="preserve">   Overhead Glazing</t>
  </si>
  <si>
    <t xml:space="preserve">   Doors</t>
  </si>
  <si>
    <t xml:space="preserve">   Ceilings, Attic</t>
  </si>
  <si>
    <t xml:space="preserve">   Ceilings, Vault</t>
  </si>
  <si>
    <t xml:space="preserve">   Walls (above grade)</t>
  </si>
  <si>
    <t xml:space="preserve">   Floors</t>
  </si>
  <si>
    <t xml:space="preserve">   Slab on Grade</t>
  </si>
  <si>
    <t xml:space="preserve">   Below Grade Walls &amp; Slabs</t>
  </si>
  <si>
    <t xml:space="preserve">   Weather</t>
  </si>
  <si>
    <t>3gl Alum clad wood, Low-e4 ¼"</t>
  </si>
  <si>
    <t>3gl Alum clad wood, Low-e2 ¼"</t>
  </si>
  <si>
    <t>3gl Alum clad wood, Low-e1 ¼"</t>
  </si>
  <si>
    <t>3gl Alum clad wood, Low-e4 ¼" + argon</t>
  </si>
  <si>
    <t>3gl Alum clad wood, Low-e2 ¼" + argon</t>
  </si>
  <si>
    <t>3gl Alum clad wood, Low-e1 ¼" + argon</t>
  </si>
  <si>
    <t>3gl Alum clad wood, Clear ½"</t>
  </si>
  <si>
    <t>3gl Alum clad wood, Clear ½" + argon</t>
  </si>
  <si>
    <t>3gl Alum clad wood, Low-e4 ½"</t>
  </si>
  <si>
    <t>3gl Alum clad wood, Low-e2 ½"</t>
  </si>
  <si>
    <t>3gl Alum clad wood, Low-e1 ½"</t>
  </si>
  <si>
    <t>3gl Alum clad wood, Low-e4 ½" + argon</t>
  </si>
  <si>
    <t>3gl Alum clad wood, Low-e2 ½" + argon</t>
  </si>
  <si>
    <t>3gl Alum clad wood, Low-e1 ½" + argon</t>
  </si>
  <si>
    <t>2gl Wood/vinyl, Clear ¼"</t>
  </si>
  <si>
    <t>2gl Wood/vinyl, Clear ¼" + argon</t>
  </si>
  <si>
    <t>2gl Wood/vinyl, Low-e4 ¼"</t>
  </si>
  <si>
    <t>2gl Wood/vinyl, Low-e2 ¼"</t>
  </si>
  <si>
    <t>2gl Wood/vinyl, Low-e1 ¼"</t>
  </si>
  <si>
    <t>2gl Wood/vinyl, Low-e4 ¼" + argon</t>
  </si>
  <si>
    <t>2gl Wood/vinyl, Low-e2 ¼" + argon</t>
  </si>
  <si>
    <t>2gl Wood/vinyl, Low-e1 ¼" + argon</t>
  </si>
  <si>
    <t>2gl Wood/vinyl, Clear 3/8"</t>
  </si>
  <si>
    <t>2gl Wood/vinyl, Clear 3/8" + argon</t>
  </si>
  <si>
    <t>2gl Wood/vinyl, Low-e4 3/8"</t>
  </si>
  <si>
    <t>2gl Wood/vinyl, Low-e2 3/8"</t>
  </si>
  <si>
    <t>2gl Wood/vinyl, Low-e1 3/8"</t>
  </si>
  <si>
    <t>2gl Wood/vinyl, Low-e4 3/8" + argon</t>
  </si>
  <si>
    <t>2gl Wood/vinyl, Low-e2 3/8" + argon</t>
  </si>
  <si>
    <t>2gl Wood/vinyl, Low-e1 3/8" + argon</t>
  </si>
  <si>
    <t>2gl Wood/vinyl, Clear ½"</t>
  </si>
  <si>
    <t>2gl Wood/vinyl, Clear ½" + argon</t>
  </si>
  <si>
    <t>2gl Wood/vinyl, Low-e4 ½"</t>
  </si>
  <si>
    <t>2gl Wood/vinyl, Low-e2 ½"</t>
  </si>
  <si>
    <t>2gl Wood/vinyl, Low-e1 ½"</t>
  </si>
  <si>
    <t>2gl Wood/vinyl, Low-e4 ½" + argon</t>
  </si>
  <si>
    <t>2gl Wood/vinyl, Low-e2 ½" + argon</t>
  </si>
  <si>
    <t>2gl Wood/vinyl, Low-e1 ½" + argon</t>
  </si>
  <si>
    <t>3gl Wood/vinyl, Clear ¼"</t>
  </si>
  <si>
    <t>3gl Wood/vinyl, Clear ¼" + argon</t>
  </si>
  <si>
    <t>3gl Wood/vinyl, Low-e4 ¼"</t>
  </si>
  <si>
    <t>3gl Wood/vinyl, Low-e2 ¼"</t>
  </si>
  <si>
    <t>3gl Wood/vinyl, Low-e1 ¼"</t>
  </si>
  <si>
    <t>3gl Wood/vinyl, Low-e4 ¼" + argon</t>
  </si>
  <si>
    <t>3gl Wood/vinyl, Low-e2 ¼" + argon</t>
  </si>
  <si>
    <t>3gl Wood/vinyl, Low-e1 ¼" + argon</t>
  </si>
  <si>
    <t>3gl Wood/vinyl, Clear ½"</t>
  </si>
  <si>
    <t>3gl Wood/vinyl, Clear ½" + argon</t>
  </si>
  <si>
    <t>3gl Wood/vinyl, Low-e4 ½"</t>
  </si>
  <si>
    <t>3gl Wood/vinyl, Low-e2 ½"</t>
  </si>
  <si>
    <t>3gl Wood/vinyl, Low-e1 ½"</t>
  </si>
  <si>
    <t>3gl Wood/vinyl, Low-e4 ½" + argon</t>
  </si>
  <si>
    <t>3gl Wood/vinyl, Low-e2 ½" + argon</t>
  </si>
  <si>
    <t>3gl Wood/vinyl, Low-e1 ½" + argon</t>
  </si>
  <si>
    <t>2gl Alum with TB, Clear ¼"</t>
  </si>
  <si>
    <t>2gl Alum with TB, Clear ¼" + argon</t>
  </si>
  <si>
    <t>2gl Alum with TB, Low-e4 ¼"</t>
  </si>
  <si>
    <t>2gl Alum with TB, Low-e2 ¼"</t>
  </si>
  <si>
    <t>2gl Alum with TB, Low-e1 ¼"</t>
  </si>
  <si>
    <t>2gl Alum with TB, Low-e4 ¼" + argon</t>
  </si>
  <si>
    <t>2gl Alum with TB, Low-e2 ¼" + argon</t>
  </si>
  <si>
    <t>2gl Alum with TB, Low-e1 ¼" + argon</t>
  </si>
  <si>
    <t>2gl Alum with TB, Clear 3/8"</t>
  </si>
  <si>
    <t>2gl Alum with TB, Clear 3/8" + argon</t>
  </si>
  <si>
    <t>2gl Alum with TB, Low-e4 3/8"</t>
  </si>
  <si>
    <t>2gl Alum with TB, Low-e2 3/8"</t>
  </si>
  <si>
    <t>2gl Alum with TB, Low-e1 3/8"</t>
  </si>
  <si>
    <t>2gl Alum with TB, Low-e4 3/8" + argon</t>
  </si>
  <si>
    <t>2gl Alum with TB, Low-e2 3/8" + argon</t>
  </si>
  <si>
    <t>2gl Alum with TB, Low-e1 3/8" + argon</t>
  </si>
  <si>
    <t>2gl Alum with TB, Clear ½"</t>
  </si>
  <si>
    <t>2gl Alum with TB, Clear ½" + argon</t>
  </si>
  <si>
    <t>2gl Alum with TB, Low-e4 ½"</t>
  </si>
  <si>
    <t>2gl Alum with TB, Low-e2 ½"</t>
  </si>
  <si>
    <t>2gl Alum with TB, Low-e1 ½"</t>
  </si>
  <si>
    <t>2gl Alum with TB, Low-e4 ½" + argon</t>
  </si>
  <si>
    <t>2gl Alum with TB, Low-e2 ½" + argon</t>
  </si>
  <si>
    <t>2gl Alum with TB, Low-e1 ½" + argon</t>
  </si>
  <si>
    <t>3gl Alum with TB, Clear ¼"</t>
  </si>
  <si>
    <t>3gl Alum with TB, Clear ¼" + argon</t>
  </si>
  <si>
    <t>3gl Alum with TB, Low-e4 ¼"</t>
  </si>
  <si>
    <t>3gl Alum with TB, Low-e2 ¼"</t>
  </si>
  <si>
    <t>3gl Alum with TB, Low-e1 ¼"</t>
  </si>
  <si>
    <t>3gl Alum with TB, Low-e4 ¼" + argon</t>
  </si>
  <si>
    <t>3gl Alum with TB, Low-e2 ¼" + argon</t>
  </si>
  <si>
    <t>3gl Alum with TB, Low-e1 ¼" + argon</t>
  </si>
  <si>
    <t>3gl Alum with TB, Clear ½"</t>
  </si>
  <si>
    <t>3gl Alum with TB, Clear ½" + argon</t>
  </si>
  <si>
    <t>3gl Alum with TB, Low-e4 ½"</t>
  </si>
  <si>
    <t>3gl Alum with TB, Low-e2 ½"</t>
  </si>
  <si>
    <t>3gl Alum with TB, Low-e1 ½"</t>
  </si>
  <si>
    <t>1a</t>
  </si>
  <si>
    <t>1b</t>
  </si>
  <si>
    <t>1c</t>
  </si>
  <si>
    <t>5a</t>
  </si>
  <si>
    <t>5b</t>
  </si>
  <si>
    <t>High Efficiency HVAC Distribution System</t>
  </si>
  <si>
    <t>Renewable Electric Energy</t>
  </si>
  <si>
    <t>or</t>
  </si>
  <si>
    <t>Locating system components in conditioned crawl spaces is not permitted under this option.</t>
  </si>
  <si>
    <t>Direct combustion heating equipment with AFUE less than 80% is not permitted under this option.</t>
  </si>
  <si>
    <t>and</t>
  </si>
  <si>
    <t>Water heating system shall include one of the following:</t>
  </si>
  <si>
    <t>RENEWABLE ELECTRIC ENERGY:</t>
  </si>
  <si>
    <t>For wind generation projects designs shall document annual power generation based on the following factors:</t>
  </si>
  <si>
    <t>The wind turbine power curve; average annual wind speed at the site; frequency distribution of the wind speed at the site and height of the tower.</t>
  </si>
  <si>
    <t>Overhead Glazing U =</t>
  </si>
  <si>
    <t xml:space="preserve">These instructions do not attempt to teach the requirements of the WSEC.  If you need an overview of the Code, we recommend that you begin by looking at the resources contained on the WSU Energy Program website: www.energy.wsu.edu/code. </t>
  </si>
  <si>
    <r>
      <t>·</t>
    </r>
    <r>
      <rPr>
        <sz val="10"/>
        <rFont val="Arial"/>
        <family val="2"/>
      </rPr>
      <t xml:space="preserve"> There are two types of cells in the worksheet.  White cells are for data entry; </t>
    </r>
    <r>
      <rPr>
        <sz val="10"/>
        <rFont val="Arial"/>
        <family val="2"/>
      </rPr>
      <t xml:space="preserve">shaded </t>
    </r>
    <r>
      <rPr>
        <sz val="10"/>
        <rFont val="Arial"/>
        <family val="2"/>
      </rPr>
      <t xml:space="preserve">cells perform calculations or summarize data.  Do not attempt to enter data into the </t>
    </r>
    <r>
      <rPr>
        <sz val="10"/>
        <rFont val="Arial"/>
        <family val="2"/>
      </rPr>
      <t xml:space="preserve">shaded </t>
    </r>
    <r>
      <rPr>
        <sz val="10"/>
        <rFont val="Arial"/>
        <family val="2"/>
      </rPr>
      <t>cells.  Do not delete rows, columns or cells.  This will disrupt the indexing reference to the CPWorksheet.</t>
    </r>
  </si>
  <si>
    <t>St Truss R38 cavity R5 Sheath 12' Span</t>
  </si>
  <si>
    <t>St Truss R38 cavity R5 Sheath 14' Span</t>
  </si>
  <si>
    <t>St Truss R38 cavity R5 Sheath 16' Span</t>
  </si>
  <si>
    <t>St Truss R38 cavity R5 Sheath 18' Span</t>
  </si>
  <si>
    <t>St Truss R38 cavity R5 Sheath 20' Span</t>
  </si>
  <si>
    <t>St Truss R38 cavity R5 Sheath 22' Span</t>
  </si>
  <si>
    <t>St Truss R38 cavity R5 Sheath 24' Span</t>
  </si>
  <si>
    <t>St Truss R38 cavity R5 Sheath 26' Span</t>
  </si>
  <si>
    <t>St Truss R38 cavity R5 Sheath 28' Span</t>
  </si>
  <si>
    <t>St Truss R38 cavity R5 Sheath 30' Span</t>
  </si>
  <si>
    <t>St Truss R38 cavity R5 Sheath 32' Span</t>
  </si>
  <si>
    <t>St Truss R38 cavity R5 Sheath 34' Span</t>
  </si>
  <si>
    <t>St Truss R38 cavity R5 Sheath 36' Span</t>
  </si>
  <si>
    <t>St Truss R49 cavity R5 Sheath 12' Span</t>
  </si>
  <si>
    <t>St Truss R49 cavity R5 Sheath 14' Span</t>
  </si>
  <si>
    <t>St Truss R49 cavity R5 Sheath 16' Span</t>
  </si>
  <si>
    <t>St Truss R49 cavity R5 Sheath 18' Span</t>
  </si>
  <si>
    <t>St Truss R49 cavity R5 Sheath 20' Span</t>
  </si>
  <si>
    <t>St Truss R49 cavity R5 Sheath 22' Span</t>
  </si>
  <si>
    <t>St Truss R49 cavity R5 Sheath 24' Span</t>
  </si>
  <si>
    <t>St Truss R49 cavity R5 Sheath 26' Span</t>
  </si>
  <si>
    <t>St Truss R49 cavity R5 Sheath 28' Span</t>
  </si>
  <si>
    <t>St Truss R49 cavity R5 Sheath 30' Span</t>
  </si>
  <si>
    <t>St Truss R49 cavity R5 Sheath 32' Span</t>
  </si>
  <si>
    <t>St Truss R49 cavity R5 Sheath 34' Span</t>
  </si>
  <si>
    <t>St Truss R49 cavity R5 Sheath 36' Span</t>
  </si>
  <si>
    <t>St Truss R19 cavity R10 Sheath 12' Span</t>
  </si>
  <si>
    <t>St Truss R19 cavity R10 Sheath 14' Span</t>
  </si>
  <si>
    <t>St Truss R19 cavity R10 Sheath 16' Span</t>
  </si>
  <si>
    <t>St Truss R19 cavity R10 Sheath 18' Span</t>
  </si>
  <si>
    <t>St Truss R19 cavity R10 Sheath 20' Span</t>
  </si>
  <si>
    <t>St Truss R19 cavity R10 Sheath 22' Span</t>
  </si>
  <si>
    <t>St Truss R19 cavity R10 Sheath 24' Span</t>
  </si>
  <si>
    <t>St Truss R19 cavity R10 Sheath 26' Span</t>
  </si>
  <si>
    <t>St Truss R19 cavity R10 Sheath 28' Span</t>
  </si>
  <si>
    <t>St Truss R19 cavity R10 Sheath 30' Span</t>
  </si>
  <si>
    <t>St Truss R19 cavity R10 Sheath 32' Span</t>
  </si>
  <si>
    <t>St Truss R19 cavity R10 Sheath 34' Span</t>
  </si>
  <si>
    <t>St Truss R19 cavity R10 Sheath 36' Span</t>
  </si>
  <si>
    <t>St Truss R30 cavity R10 Sheath 12' Span</t>
  </si>
  <si>
    <t>St Truss R30 cavity R10 Sheath 14' Span</t>
  </si>
  <si>
    <t>St Truss R30 cavity R10 Sheath 16' Span</t>
  </si>
  <si>
    <t>St Truss R30 cavity R10 Sheath 18' Span</t>
  </si>
  <si>
    <t>St Truss R30 cavity R10 Sheath 20' Span</t>
  </si>
  <si>
    <t>St Truss R30 cavity R10 Sheath 22' Span</t>
  </si>
  <si>
    <t>St Truss R30 cavity R10 Sheath 24' Span</t>
  </si>
  <si>
    <t>St Truss R30 cavity R10 Sheath 26' Span</t>
  </si>
  <si>
    <t>St Truss R30 cavity R10 Sheath 28' Span</t>
  </si>
  <si>
    <t>St Truss R30 cavity R10 Sheath 30' Span</t>
  </si>
  <si>
    <t>St Truss R30 cavity R10 Sheath 32' Span</t>
  </si>
  <si>
    <t>St Truss R30 cavity R10 Sheath 34' Span</t>
  </si>
  <si>
    <t>St Truss R30 cavity R10 Sheath 36' Span</t>
  </si>
  <si>
    <t>St Truss R38 cavity R10 Sheath 12' Span</t>
  </si>
  <si>
    <t>St Truss R38 cavity R10 Sheath 14' Span</t>
  </si>
  <si>
    <t>St Truss R38 cavity R10 Sheath 16' Span</t>
  </si>
  <si>
    <t>St Truss R38 cavity R10 Sheath 18' Span</t>
  </si>
  <si>
    <t>St Truss R38 cavity R10 Sheath 20' Span</t>
  </si>
  <si>
    <t>St Truss R38 cavity R10 Sheath 22' Span</t>
  </si>
  <si>
    <t>St Truss R38 cavity R10 Sheath 24' Span</t>
  </si>
  <si>
    <t>St Truss R38 cavity R10 Sheath 26' Span</t>
  </si>
  <si>
    <t>St Truss R38 cavity R10 Sheath 28' Span</t>
  </si>
  <si>
    <t>St Truss R38 cavity R10 Sheath 30' Span</t>
  </si>
  <si>
    <t>St Truss R38 cavity R10 Sheath 32' Span</t>
  </si>
  <si>
    <t>St Truss R38 cavity R10 Sheath 34' Span</t>
  </si>
  <si>
    <t>St Truss R38 cavity R10 Sheath 36' Span</t>
  </si>
  <si>
    <t>St Truss R49 cavity R10 Sheath 12' Span</t>
  </si>
  <si>
    <t>St Truss R49 cavity R10 Sheath 14' Span</t>
  </si>
  <si>
    <t>St Truss R49 cavity R10 Sheath 16' Span</t>
  </si>
  <si>
    <t>St Truss R49 cavity R10 Sheath 18' Span</t>
  </si>
  <si>
    <t>St Truss R49 cavity R10 Sheath 20' Span</t>
  </si>
  <si>
    <t>St Truss R49 cavity R10 Sheath 22' Span</t>
  </si>
  <si>
    <t>St Truss R49 cavity R10 Sheath 24' Span</t>
  </si>
  <si>
    <t>St Truss R49 cavity R10 Sheath 26' Span</t>
  </si>
  <si>
    <t>St Truss R49 cavity R10 Sheath 28' Span</t>
  </si>
  <si>
    <t>St Truss R49 cavity R10 Sheath 30' Span</t>
  </si>
  <si>
    <t>St Truss R49 cavity R10 Sheath 32' Span</t>
  </si>
  <si>
    <t>St Truss R49 cavity R10 Sheath 34' Span</t>
  </si>
  <si>
    <t>St Truss R49 cavity R10 Sheath 36' Span</t>
  </si>
  <si>
    <t>St Truss R19 cavity R15 Sheath 12' Span</t>
  </si>
  <si>
    <t>St Truss R19 cavity R15 Sheath 14' Span</t>
  </si>
  <si>
    <t>St Truss R19 cavity R15 Sheath 16' Span</t>
  </si>
  <si>
    <t>St Truss R19 cavity R15 Sheath 18' Span</t>
  </si>
  <si>
    <t>St Truss R19 cavity R15 Sheath 20' Span</t>
  </si>
  <si>
    <t>St Truss R19 cavity R15 Sheath 22' Span</t>
  </si>
  <si>
    <t>St Truss R19 cavity R15 Sheath 24' Span</t>
  </si>
  <si>
    <t>St Truss R19 cavity R15 Sheath 26' Span</t>
  </si>
  <si>
    <t>St Truss R19 cavity R15 Sheath 28' Span</t>
  </si>
  <si>
    <t>St Truss R19 cavity R15 Sheath 30' Span</t>
  </si>
  <si>
    <t>St Truss R19 cavity R15 Sheath 32' Span</t>
  </si>
  <si>
    <t>St Truss R19 cavity R15 Sheath 34' Span</t>
  </si>
  <si>
    <t>St Truss R19 cavity R15 Sheath 36' Span</t>
  </si>
  <si>
    <t>St Truss R30 cavity R15 Sheath 12' Span</t>
  </si>
  <si>
    <t>St Truss R30 cavity R15 Sheath 14' Span</t>
  </si>
  <si>
    <t>St Truss R30 cavity R15 Sheath 16' Span</t>
  </si>
  <si>
    <t>St Truss R30 cavity R15 Sheath 18' Span</t>
  </si>
  <si>
    <t>St Truss R30 cavity R15 Sheath 20' Span</t>
  </si>
  <si>
    <t>St Truss R30 cavity R15 Sheath 22' Span</t>
  </si>
  <si>
    <t>St Truss R30 cavity R15 Sheath 24' Span</t>
  </si>
  <si>
    <t>St Truss R30 cavity R15 Sheath 26' Span</t>
  </si>
  <si>
    <t>St Truss R30 cavity R15 Sheath 28' Span</t>
  </si>
  <si>
    <t>St Truss R30 cavity R15 Sheath 30' Span</t>
  </si>
  <si>
    <t>St Truss R30 cavity R15 Sheath 32' Span</t>
  </si>
  <si>
    <t>St Truss R30 cavity R15 Sheath 34' Span</t>
  </si>
  <si>
    <t>St Truss R30 cavity R15 Sheath 36' Span</t>
  </si>
  <si>
    <t>St Truss R38 cavity R15 Sheath 12' Span</t>
  </si>
  <si>
    <t>St Truss R38 cavity R15 Sheath 14' Span</t>
  </si>
  <si>
    <t>St Truss R38 cavity R15 Sheath 16' Span</t>
  </si>
  <si>
    <t>St Truss R38 cavity R15 Sheath 18' Span</t>
  </si>
  <si>
    <t>St Truss R38 cavity R15 Sheath 20' Span</t>
  </si>
  <si>
    <t>St Truss R38 cavity R15 Sheath 22' Span</t>
  </si>
  <si>
    <t>St Truss R38 cavity R15 Sheath 24' Span</t>
  </si>
  <si>
    <t>St Truss R38 cavity R15 Sheath 26' Span</t>
  </si>
  <si>
    <t>St Truss R38 cavity R15 Sheath 28' Span</t>
  </si>
  <si>
    <t>St Truss R38 cavity R15 Sheath 30' Span</t>
  </si>
  <si>
    <t>St Truss R38 cavity R15 Sheath 32' Span</t>
  </si>
  <si>
    <t>St Truss R38 cavity R15 Sheath 34' Span</t>
  </si>
  <si>
    <t>St Truss R38 cavity R15 Sheath 36' Span</t>
  </si>
  <si>
    <t>St Truss R49 cavity R15 Sheath 12' Span</t>
  </si>
  <si>
    <t>St Truss R49 cavity R15 Sheath 14' Span</t>
  </si>
  <si>
    <t>St Truss R49 cavity R15 Sheath 16' Span</t>
  </si>
  <si>
    <t>St Truss R49 cavity R15 Sheath 18' Span</t>
  </si>
  <si>
    <t>St Truss R49 cavity R15 Sheath 20' Span</t>
  </si>
  <si>
    <t>St Truss R49 cavity R15 Sheath 22' Span</t>
  </si>
  <si>
    <t>St Truss R49 cavity R15 Sheath 24' Span</t>
  </si>
  <si>
    <t>St Truss R49 cavity R15 Sheath 26' Span</t>
  </si>
  <si>
    <t>St Truss R49 cavity R15 Sheath 28' Span</t>
  </si>
  <si>
    <t>St Truss R49 cavity R15 Sheath 30' Span</t>
  </si>
  <si>
    <t>St Truss R49 cavity R15 Sheath 32' Span</t>
  </si>
  <si>
    <t>St Truss R49 cavity R15 Sheath 34' Span</t>
  </si>
  <si>
    <t>St Truss R49 cavity R15 Sheath 36' Span</t>
  </si>
  <si>
    <t>R19 batt Vault vented 2x10 16oc</t>
  </si>
  <si>
    <t>R19 batt Vault vented 2x10 24oc</t>
  </si>
  <si>
    <t>R30 batt Vault vented 2x12 16oc</t>
  </si>
  <si>
    <t>R30 batt Vault vented 2x12 24oc</t>
  </si>
  <si>
    <t>R38 batt Vault vented 2x14 16oc</t>
  </si>
  <si>
    <t>R38 batt Vault vented 2x14 24oc</t>
  </si>
  <si>
    <t>R30 batt Vault unvented 2x10 16oc</t>
  </si>
  <si>
    <t>R30 batt Vault unvented 2x10 24oc</t>
  </si>
  <si>
    <t>R38 batt Vault unvented 2x12 16oc</t>
  </si>
  <si>
    <t>R38 batt Vault unvented 2x12 24oc</t>
  </si>
  <si>
    <t>R21+R21 Vault unvented 2x12 16oc</t>
  </si>
  <si>
    <t>R21+R21 Vault unvented 2x12 24oc</t>
  </si>
  <si>
    <t>R12.5 2" Rigid Roof Deck 48oc</t>
  </si>
  <si>
    <t>R21.9 3.5" Rigid Roof Deck 48oc</t>
  </si>
  <si>
    <t>R37.5 6" Rigid Roof Deck 48oc</t>
  </si>
  <si>
    <t>R50 8" Rigid Roof Deck 48oc</t>
  </si>
  <si>
    <t>7.25" flush frame stress skin</t>
  </si>
  <si>
    <t>7.25" supported stress skin</t>
  </si>
  <si>
    <t>9.25" flush frame stress skin</t>
  </si>
  <si>
    <t>9.25" supported stress skin</t>
  </si>
  <si>
    <t>11.25" flush frame stress skin</t>
  </si>
  <si>
    <t>11.25" supported stress skin</t>
  </si>
  <si>
    <t>Wall U</t>
  </si>
  <si>
    <t>R11 cavity+R0 foam STD 2X4W Lap</t>
  </si>
  <si>
    <t>10-5</t>
  </si>
  <si>
    <t>R11 cavity+R0 foam ADV 2X4W Lap</t>
  </si>
  <si>
    <t>R11 cavity+R0 foam STD 2X4W T111</t>
  </si>
  <si>
    <t>R11 cavity+R0 foam ADV 2X4W T111</t>
  </si>
  <si>
    <t>R11 cavity+R1 foam STD 2X4W Lap</t>
  </si>
  <si>
    <t>R11 cavity+R1 foam ADV 2X4W Lap</t>
  </si>
  <si>
    <t>R11 cavity+R1 foam STD 2X4W T111</t>
  </si>
  <si>
    <t>R11 cavity+R1 foam ADV 2X4W T111</t>
  </si>
  <si>
    <t>R11 cavity+R2 foam STD 2X4W Lap</t>
  </si>
  <si>
    <t>R11 cavity+R2 foam ADV 2X4W Lap</t>
  </si>
  <si>
    <t>R11 cavity+R2 foam STD 2X4W T111</t>
  </si>
  <si>
    <t>R11 cavity+R2 foam ADV 2X4W T111</t>
  </si>
  <si>
    <t>R11 cavity+R3 foam STD 2X4W Lap</t>
  </si>
  <si>
    <t>R11 cavity+R3 foam ADV 2X4W Lap</t>
  </si>
  <si>
    <t>R11 cavity+R3 foam STD 2X4W T111</t>
  </si>
  <si>
    <t>R11 cavity+R3 foam ADV 2X4W T111</t>
  </si>
  <si>
    <t>R11 cavity+R4 foam STD 2X4W Lap</t>
  </si>
  <si>
    <t>R11 cavity+R4 foam ADV 2X4W Lap</t>
  </si>
  <si>
    <t>R11 cavity+R4 foam STD 2X4W T111</t>
  </si>
  <si>
    <t>R11 cavity+R4 foam ADV 2X4W T111</t>
  </si>
  <si>
    <t>R11 cavity+R5 foam STD 2X4W Lap</t>
  </si>
  <si>
    <t>R11 cavity+R5 foam ADV 2X4W Lap</t>
  </si>
  <si>
    <t>R11 cavity+R5 foam STD 2X4W T111</t>
  </si>
  <si>
    <t>R11 cavity+R5 foam ADV 2X4W T111</t>
  </si>
  <si>
    <t>R11 cavity+R6 foam STD 2X4W Lap</t>
  </si>
  <si>
    <t>R11 cavity+R6 foam ADV 2X4W Lap</t>
  </si>
  <si>
    <t>R11 cavity+R6 foam STD 2X4W T111</t>
  </si>
  <si>
    <t>R11 cavity+R6 foam ADV 2X4W T111</t>
  </si>
  <si>
    <t>R11 cavity+R7 foam STD 2X4W Lap</t>
  </si>
  <si>
    <t>R11 cavity+R7 foam ADV 2X4W Lap</t>
  </si>
  <si>
    <t>R11 cavity+R7 foam STD 2X4W T111</t>
  </si>
  <si>
    <t>R11 cavity+R7 foam ADV 2X4W T111</t>
  </si>
  <si>
    <t>R11 cavity+R8 foam STD 2X4W Lap</t>
  </si>
  <si>
    <t>R11 cavity+R8 foam ADV 2X4W Lap</t>
  </si>
  <si>
    <t>R11 cavity+R8 foam STD 2X4W T111</t>
  </si>
  <si>
    <t>R11 cavity+R8 foam ADV 2X4W T111</t>
  </si>
  <si>
    <t>R11 cavity+R9 foam STD 2X4W Lap</t>
  </si>
  <si>
    <t>R11 cavity+R9 foam ADV 2X4W Lap</t>
  </si>
  <si>
    <t>R11 cavity+R9 foam STD 2X4W T111</t>
  </si>
  <si>
    <t>R11 cavity+R9 foam ADV 2X4W T111</t>
  </si>
  <si>
    <t>R11 cavity+R10 foam STD 2X4W Lap</t>
  </si>
  <si>
    <t>R11 cavity+R10 foam ADV 2X4W Lap</t>
  </si>
  <si>
    <t>R11 cavity+R10 foam STD 2X4W T111</t>
  </si>
  <si>
    <t>R11 cavity+R10 foam ADV 2X4W T111</t>
  </si>
  <si>
    <t>R11 cavity+R11 foam STD 2X4W Lap</t>
  </si>
  <si>
    <t>R11 cavity+R11 foam ADV 2X4W Lap</t>
  </si>
  <si>
    <t>R11 cavity+R11 foam STD 2X4W T111</t>
  </si>
  <si>
    <t>R11 cavity+R11 foam ADV 2X4W T111</t>
  </si>
  <si>
    <t>R11 cavity+R12 foam STD 2X4W Lap</t>
  </si>
  <si>
    <t>R11 cavity+R12 foam ADV 2X4W Lap</t>
  </si>
  <si>
    <t>R11 cavity+R12 foam STD 2X4W T111</t>
  </si>
  <si>
    <t>R11 cavity+R12 foam ADV 2X4W T111</t>
  </si>
  <si>
    <t>R13 cavity+R0 foam STD 2X4W Lap</t>
  </si>
  <si>
    <t>R13 cavity+R0 foam ADV 2X4W Lap</t>
  </si>
  <si>
    <t>R13 cavity+R0 foam STD 2X4W T111</t>
  </si>
  <si>
    <t>R13 cavity+R0 foam ADV 2X4W T111</t>
  </si>
  <si>
    <t>R13 cavity+R1 foam STD 2X4W Lap</t>
  </si>
  <si>
    <t>R13 cavity+R1 foam ADV 2X4W Lap</t>
  </si>
  <si>
    <t>R13 cavity+R1 foam STD 2X4W T111</t>
  </si>
  <si>
    <t>R13 cavity+R1 foam ADV 2X4W T111</t>
  </si>
  <si>
    <t>R13 cavity+R2 foam STD 2X4W Lap</t>
  </si>
  <si>
    <t>R13 cavity+R2 foam ADV 2X4W Lap</t>
  </si>
  <si>
    <t>R13 cavity+R2 foam STD 2X4W T111</t>
  </si>
  <si>
    <t>R13 cavity+R2 foam ADV 2X4W T111</t>
  </si>
  <si>
    <t>R13 cavity+R3 foam STD 2X4W Lap</t>
  </si>
  <si>
    <t>R13 cavity+R3 foam ADV 2X4W Lap</t>
  </si>
  <si>
    <t>R13 cavity+R3 foam STD 2X4W T111</t>
  </si>
  <si>
    <t>R13 cavity+R3 foam ADV 2X4W T111</t>
  </si>
  <si>
    <t>R13 cavity+R4 foam STD 2X4W Lap</t>
  </si>
  <si>
    <t>R13 cavity+R4 foam ADV 2X4W Lap</t>
  </si>
  <si>
    <t>R13 cavity+R4 foam STD 2X4W T111</t>
  </si>
  <si>
    <t>R13 cavity+R4 foam ADV 2X4W T111</t>
  </si>
  <si>
    <t>R13 cavity+R5 foam STD 2X4W Lap</t>
  </si>
  <si>
    <t>R13 cavity+R5 foam ADV 2X4W Lap</t>
  </si>
  <si>
    <t>R13 cavity+R5 foam STD 2X4W T111</t>
  </si>
  <si>
    <t>R13 cavity+R5 foam ADV 2X4W T111</t>
  </si>
  <si>
    <t>R13 cavity+R6 foam STD 2X4W Lap</t>
  </si>
  <si>
    <t>R13 cavity+R6 foam ADV 2X4W Lap</t>
  </si>
  <si>
    <t>R13 cavity+R6 foam STD 2X4W T111</t>
  </si>
  <si>
    <t>R13 cavity+R6 foam ADV 2X4W T111</t>
  </si>
  <si>
    <t>R13 cavity+R7 foam STD 2X4W Lap</t>
  </si>
  <si>
    <t>R13 cavity+R7 foam ADV 2X4W Lap</t>
  </si>
  <si>
    <t>R13 cavity+R7 foam STD 2X4W T111</t>
  </si>
  <si>
    <t>R13 cavity+R7 foam ADV 2X4W T111</t>
  </si>
  <si>
    <t>R13 cavity+R8 foam STD 2X4W Lap</t>
  </si>
  <si>
    <t>R13 cavity+R8 foam ADV 2X4W Lap</t>
  </si>
  <si>
    <t>R13 cavity+R8 foam STD 2X4W T111</t>
  </si>
  <si>
    <t>R13 cavity+R8 foam ADV 2X4W T111</t>
  </si>
  <si>
    <t>R13 cavity+R9 foam STD 2X4W Lap</t>
  </si>
  <si>
    <t>R13 cavity+R9 foam ADV 2X4W Lap</t>
  </si>
  <si>
    <t>R13 cavity+R9 foam STD 2X4W T111</t>
  </si>
  <si>
    <t>R13 cavity+R9 foam ADV 2X4W T111</t>
  </si>
  <si>
    <t>R13 cavity+R10 foam STD 2X4W Lap</t>
  </si>
  <si>
    <t>R13 cavity+R10 foam ADV 2X4W Lap</t>
  </si>
  <si>
    <t>R13 cavity+R10 foam STD 2X4W T111</t>
  </si>
  <si>
    <t>R13 cavity+R10 foam ADV 2X4W T111</t>
  </si>
  <si>
    <t>R13 cavity+R11 foam STD 2X4W Lap</t>
  </si>
  <si>
    <t>R13 cavity+R11 foam ADV 2X4W Lap</t>
  </si>
  <si>
    <t>R13 cavity+R11 foam STD 2X4W T111</t>
  </si>
  <si>
    <t>R13 cavity+R11 foam ADV 2X4W T111</t>
  </si>
  <si>
    <t>R13 cavity+R12 foam STD 2X4W Lap</t>
  </si>
  <si>
    <t>R13 cavity+R12 foam ADV 2X4W Lap</t>
  </si>
  <si>
    <t>R13 cavity+R12 foam STD 2X4W T111</t>
  </si>
  <si>
    <t>R13 cavity+R12 foam ADV 2X4W T111</t>
  </si>
  <si>
    <t>R15 cavity+R0 foam STD 2X4W Lap</t>
  </si>
  <si>
    <t>R15 cavity+R0 foam ADV 2X4W Lap</t>
  </si>
  <si>
    <t>R15 cavity+R0 foam STD 2X4W T111</t>
  </si>
  <si>
    <t>R15 cavity+R0 foam ADV 2X4W T111</t>
  </si>
  <si>
    <t>R15 cavity+R1 foam STD 2X4W Lap</t>
  </si>
  <si>
    <t>R15 cavity+R1 foam ADV 2X4W Lap</t>
  </si>
  <si>
    <t>R15 cavity+R1 foam STD 2X4W T111</t>
  </si>
  <si>
    <t>R15 cavity+R1 foam ADV 2X4W T111</t>
  </si>
  <si>
    <t>R13+13+13 2X6+2X4W STD Lap</t>
  </si>
  <si>
    <t>R13+13+13 2X6+2X4W ADV Lap</t>
  </si>
  <si>
    <t>R13+13+13 2X6+2X4W STD T111</t>
  </si>
  <si>
    <t>R13+13+13 2X6+2X4W ADV T111</t>
  </si>
  <si>
    <t>R11+19+11 2X6+2X4W STD Lap</t>
  </si>
  <si>
    <t>R11+19+11 2X6+2X4W ADV Lap</t>
  </si>
  <si>
    <t>R11+19+11 2X6+2X4W STD T111</t>
  </si>
  <si>
    <t>R11+19+11 2X6+2X4W ADV T111</t>
  </si>
  <si>
    <t>R19+0+11 2X4+2X4W STD Lap</t>
  </si>
  <si>
    <t>R19+0+11 2X4+2X4W ADV Lap</t>
  </si>
  <si>
    <t>R19+0+11 2X4+2X4W STD T111</t>
  </si>
  <si>
    <t>R19+0+11 2X4+2X4W ADV T111</t>
  </si>
  <si>
    <t>R19+0+19 2X4+2X4W STD Lap</t>
  </si>
  <si>
    <t>R19+0+19 2X4+2X4W ADV Lap</t>
  </si>
  <si>
    <t>R19+0+19 2X4+2X4W STD T111</t>
  </si>
  <si>
    <t>R19+0+19 2X4+2X4W ADV T111</t>
  </si>
  <si>
    <t>R19+8+11 2X4+2X4W STD Lap</t>
  </si>
  <si>
    <t>R19+8+11 2X4+2X4W ADV Lap</t>
  </si>
  <si>
    <t>R19+8+11 2X4+2X4W STD T111</t>
  </si>
  <si>
    <t>R19+8+11 2X4+2X4W ADV T111</t>
  </si>
  <si>
    <t>R11+11+11 2X4+2X4W STD Lap</t>
  </si>
  <si>
    <t>R11+11+11 2X4+2X4W ADV Lap</t>
  </si>
  <si>
    <t>R11+11+11 2X4+2X4W STD T111</t>
  </si>
  <si>
    <t>R11+11+11 2X4+2X4W ADV T111</t>
  </si>
  <si>
    <t>R13+13+13 2X4+2X4W STD Lap</t>
  </si>
  <si>
    <t>R13+13+13 2X4+2X4W ADV Lap</t>
  </si>
  <si>
    <t>R13+13+13 2X4+2X4W STD T111</t>
  </si>
  <si>
    <t>R13+13+13 2X4+2X4W ADV T111</t>
  </si>
  <si>
    <t>R11+19+11 2X4+2X4W STD Lap</t>
  </si>
  <si>
    <t>R11+19+11 2X4+2X4W ADV Lap</t>
  </si>
  <si>
    <t>R11+19+11 2X4+2X4W STD T111</t>
  </si>
  <si>
    <t>R11+19+11 2X4+2X4W ADV T111</t>
  </si>
  <si>
    <t>6 inch diameter log</t>
  </si>
  <si>
    <t>8 inch diameter log</t>
  </si>
  <si>
    <t>10 inch diameter log</t>
  </si>
  <si>
    <t>12 inch diameter log</t>
  </si>
  <si>
    <t>14 inch diameter log</t>
  </si>
  <si>
    <t>16 inch diameter log</t>
  </si>
  <si>
    <t>3.5" Core Stress Skin Panel</t>
  </si>
  <si>
    <t>5.5" Core Stress Skin Panel</t>
  </si>
  <si>
    <t>7.25" Core Stress Skin Panel</t>
  </si>
  <si>
    <t>9.25" Core Stress Skin Panel</t>
  </si>
  <si>
    <t>11.25" Core Stress Skin Panel</t>
  </si>
  <si>
    <t>R11 cavity+R0 foam Metal 16"OC</t>
  </si>
  <si>
    <t>R11 cavity+R1 foam Metal 16"OC</t>
  </si>
  <si>
    <t>R11 cavity+R2 foam Metal 16"OC</t>
  </si>
  <si>
    <t>R11 cavity+R3 foam Metal 16"OC</t>
  </si>
  <si>
    <t>R11 cavity+R4 foam Metal 16"OC</t>
  </si>
  <si>
    <t>R11 cavity+R5 foam Metal 16"OC</t>
  </si>
  <si>
    <t>R11 cavity+R6 foam Metal 16"OC</t>
  </si>
  <si>
    <t>R11 cavity+R7 foam Metal 16"OC</t>
  </si>
  <si>
    <t>R11 cavity+R8 foam Metal 16"OC</t>
  </si>
  <si>
    <t>R11 cavity+R9 foam Metal 16"OC</t>
  </si>
  <si>
    <t>R11 cavity+R10 foam Metal 16"OC</t>
  </si>
  <si>
    <t>R13 cavity+R0 foam Metal 16"OC</t>
  </si>
  <si>
    <t>R13 cavity+R1 foam Metal 16"OC</t>
  </si>
  <si>
    <t>R13 cavity+R2 foam Metal 16"OC</t>
  </si>
  <si>
    <t>R13 cavity+R3 foam Metal 16"OC</t>
  </si>
  <si>
    <t>R13 cavity+R4 foam Metal 16"OC</t>
  </si>
  <si>
    <t>R13 cavity+R5 foam Metal 16"OC</t>
  </si>
  <si>
    <t>R13 cavity+R6 foam Metal 16"OC</t>
  </si>
  <si>
    <t>R13 cavity+R7 foam Metal 16"OC</t>
  </si>
  <si>
    <t>R13 cavity+R8 foam Metal 16"OC</t>
  </si>
  <si>
    <t>R13 cavity+R9 foam Metal 16"OC</t>
  </si>
  <si>
    <t>R13 cavity+R10 foam Metal 16"OC</t>
  </si>
  <si>
    <t>R15 cavity+R0 foam Metal 16"OC</t>
  </si>
  <si>
    <t>R15 cavity+R1 foam Metal 16"OC</t>
  </si>
  <si>
    <t>R15 cavity+R2 foam Metal 16"OC</t>
  </si>
  <si>
    <t>R15 cavity+R3 foam Metal 16"OC</t>
  </si>
  <si>
    <t>R15 cavity+R4 foam Metal 16"OC</t>
  </si>
  <si>
    <t>R15 cavity+R5 foam Metal 16"OC</t>
  </si>
  <si>
    <t>R15 cavity+R6 foam Metal 16"OC</t>
  </si>
  <si>
    <t>R15 cavity+R7 foam Metal 16"OC</t>
  </si>
  <si>
    <t>R15 cavity+R8 foam Metal 16"OC</t>
  </si>
  <si>
    <t>R15 cavity+R9 foam Metal 16"OC</t>
  </si>
  <si>
    <t>R15 cavity+R10 foam Metal 16"OC</t>
  </si>
  <si>
    <t>R19 cavity+R0 foam Metal 16"OC</t>
  </si>
  <si>
    <t>R19 cavity+R1 foam Metal 16"OC</t>
  </si>
  <si>
    <t>R19 cavity+R2 foam Metal 16"OC</t>
  </si>
  <si>
    <t>R19 cavity+R3 foam Metal 16"OC</t>
  </si>
  <si>
    <t>R19 cavity+R4 foam Metal 16"OC</t>
  </si>
  <si>
    <t>R19 cavity+R5 foam Metal 16"OC</t>
  </si>
  <si>
    <t>R19 cavity+R6 foam Metal 16"OC</t>
  </si>
  <si>
    <t>R19 cavity+R7 foam Metal 16"OC</t>
  </si>
  <si>
    <t>R19 cavity+R8 foam Metal 16"OC</t>
  </si>
  <si>
    <t>R19 cavity+R9 foam Metal 16"OC</t>
  </si>
  <si>
    <t>R19 cavity+R10 foam Metal 16"OC</t>
  </si>
  <si>
    <t>R21 cavity+R0 foam Metal 16"OC</t>
  </si>
  <si>
    <t>R19 cavity+R3 foam STD 2X6W T111</t>
  </si>
  <si>
    <t>R19 cavity+R3 foam INT 2X6W T111</t>
  </si>
  <si>
    <t>R19 cavity+R3 foam ADV 2X6W T111</t>
  </si>
  <si>
    <t>R19 cavity+R4 foam STD 2X6W Lap</t>
  </si>
  <si>
    <t>R19 cavity+R4 foam INT 2X6W Lap</t>
  </si>
  <si>
    <t>R19 cavity+R4 foam ADV 2X6W Lap</t>
  </si>
  <si>
    <t>R19 cavity+R4 foam STD 2X6W T111</t>
  </si>
  <si>
    <t>R19 cavity+R4 foam INT 2X6W T111</t>
  </si>
  <si>
    <t>R19 cavity+R4 foam ADV 2X6W T111</t>
  </si>
  <si>
    <t>R19 cavity+R5 foam STD 2X6W Lap</t>
  </si>
  <si>
    <t>R19 cavity+R5 foam INT 2X6W Lap</t>
  </si>
  <si>
    <t>R19 cavity+R5 foam ADV 2X6W Lap</t>
  </si>
  <si>
    <t>R19 cavity+R5 foam STD 2X6W T111</t>
  </si>
  <si>
    <t>R19 cavity+R5 foam INT 2X6W T111</t>
  </si>
  <si>
    <t>R19 cavity+R5 foam ADV 2X6W T111</t>
  </si>
  <si>
    <t>R19 cavity+R6 foam STD 2X6W Lap</t>
  </si>
  <si>
    <t>R19 cavity+R6 foam INT 2X6W Lap</t>
  </si>
  <si>
    <t>R19 cavity+R6 foam ADV 2X6W Lap</t>
  </si>
  <si>
    <t>R19 cavity+R6 foam STD 2X6W T111</t>
  </si>
  <si>
    <t>R19 cavity+R6 foam INT 2X6W T111</t>
  </si>
  <si>
    <t>R19 cavity+R6 foam ADV 2X6W T111</t>
  </si>
  <si>
    <t>R19 cavity+R7 foam STD 2X6W Lap</t>
  </si>
  <si>
    <t>R19 cavity+R7 foam INT 2X6W Lap</t>
  </si>
  <si>
    <t>R19 cavity+R7 foam ADV 2X6W Lap</t>
  </si>
  <si>
    <t>R19 cavity+R7 foam STD 2X6W T111</t>
  </si>
  <si>
    <t>R19 cavity+R7 foam INT 2X6W T111</t>
  </si>
  <si>
    <t>R19 cavity+R7 foam ADV 2X6W T111</t>
  </si>
  <si>
    <t>R19 cavity+R8 foam STD 2X6W Lap</t>
  </si>
  <si>
    <t>R19 cavity+R8 foam INT 2X6W Lap</t>
  </si>
  <si>
    <t>R19 cavity+R8 foam ADV 2X6W Lap</t>
  </si>
  <si>
    <t>R19 cavity+R8 foam STD 2X6W T111</t>
  </si>
  <si>
    <t>R19 cavity+R8 foam INT 2X6W T111</t>
  </si>
  <si>
    <t>R19 cavity+R8 foam ADV 2X6W T111</t>
  </si>
  <si>
    <t>R19 cavity+R9 foam STD 2X6W Lap</t>
  </si>
  <si>
    <t>R19 cavity+R9 foam INT 2X6W Lap</t>
  </si>
  <si>
    <t>R19 cavity+R9 foam ADV 2X6W Lap</t>
  </si>
  <si>
    <t>R19 cavity+R9 foam STD 2X6W T111</t>
  </si>
  <si>
    <t>R19 cavity+R9 foam INT 2X6W T111</t>
  </si>
  <si>
    <t>R19 cavity+R9 foam ADV 2X6W T111</t>
  </si>
  <si>
    <t>R19 cavity+R10 foam STD 2X6W Lap</t>
  </si>
  <si>
    <t>R19 cavity+R10 foam INT 2X6W Lap</t>
  </si>
  <si>
    <t>R19 cavity+R10 foam ADV 2X6W Lap</t>
  </si>
  <si>
    <t>R19 cavity+R10 foam STD 2X6W T111</t>
  </si>
  <si>
    <t>R19 cavity+R10 foam INT 2X6W T111</t>
  </si>
  <si>
    <t>R19 cavity+R10 foam ADV 2X6W T111</t>
  </si>
  <si>
    <t>R19 cavity+R11 foam STD 2X6W Lap</t>
  </si>
  <si>
    <t>R19 cavity+R11 foam INT 2X6W Lap</t>
  </si>
  <si>
    <t>R19 cavity+R11 foam ADV 2X6W Lap</t>
  </si>
  <si>
    <t>R19 cavity+R11 foam STD 2X6W T111</t>
  </si>
  <si>
    <t>R19 cavity+R11 foam INT 2X6W T111</t>
  </si>
  <si>
    <t>R19 cavity+R11 foam ADV 2X6W T111</t>
  </si>
  <si>
    <t>R19 cavity+R12 foam STD 2X6W Lap</t>
  </si>
  <si>
    <t>R19 cavity+R12 foam INT 2X6W Lap</t>
  </si>
  <si>
    <t>R19 cavity+R12 foam ADV 2X6W Lap</t>
  </si>
  <si>
    <t>R19 cavity+R12 foam STD 2X6W T111</t>
  </si>
  <si>
    <t>R19 cavity+R12 foam INT 2X6W T111</t>
  </si>
  <si>
    <t>R19 cavity+R12 foam ADV 2X6W T111</t>
  </si>
  <si>
    <t>R21 cavity+R0 foam STD 2X6W Lap</t>
  </si>
  <si>
    <t>R21 cavity+R0 foam INT 2X6W Lap</t>
  </si>
  <si>
    <t>R21 cavity+R0 foam ADV 2X6W Lap</t>
  </si>
  <si>
    <t>R21 cavity+R0 foam STD 2X6W T111</t>
  </si>
  <si>
    <t>R21 cavity+R0 foam INT 2X6W T111</t>
  </si>
  <si>
    <t>R21 cavity+R0 foam ADV 2X6W T111</t>
  </si>
  <si>
    <t>R21 cavity+R1 foam STD 2X6W Lap</t>
  </si>
  <si>
    <t>R21 cavity+R1 foam INT 2X6W Lap</t>
  </si>
  <si>
    <t>R21 cavity+R1 foam ADV 2X6W Lap</t>
  </si>
  <si>
    <t>R21 cavity+R1 foam STD 2X6W T111</t>
  </si>
  <si>
    <t>R21 cavity+R1 foam INT 2X6W T111</t>
  </si>
  <si>
    <t>R21 cavity+R1 foam ADV 2X6W T111</t>
  </si>
  <si>
    <t>R21 cavity+R2 foam STD 2X6W Lap</t>
  </si>
  <si>
    <t>R21 cavity+R2 foam INT 2X6W Lap</t>
  </si>
  <si>
    <t>R21 cavity+R2 foam ADV 2X6W Lap</t>
  </si>
  <si>
    <t>R21 cavity+R2 foam STD 2X6W T111</t>
  </si>
  <si>
    <t>R21 cavity+R2 foam INT 2X6W T111</t>
  </si>
  <si>
    <t>R21 cavity+R2 foam ADV 2X6W T111</t>
  </si>
  <si>
    <t>R21 cavity+R3 foam STD 2X6W Lap</t>
  </si>
  <si>
    <t>R21 cavity+R3 foam INT 2X6W Lap</t>
  </si>
  <si>
    <t>R21 cavity+R3 foam ADV 2X6W Lap</t>
  </si>
  <si>
    <t>R21 cavity+R3 foam STD 2X6W T111</t>
  </si>
  <si>
    <t>R21 cavity+R3 foam INT 2X6W T111</t>
  </si>
  <si>
    <t>R21 cavity+R3 foam ADV 2X6W T111</t>
  </si>
  <si>
    <t>R21 cavity+R4 foam STD 2X6W Lap</t>
  </si>
  <si>
    <t>R21 cavity+R4 foam INT 2X6W Lap</t>
  </si>
  <si>
    <t>R21 cavity+R4 foam ADV 2X6W Lap</t>
  </si>
  <si>
    <t>R21 cavity+R4 foam STD 2X6W T111</t>
  </si>
  <si>
    <t>R21 cavity+R4 foam INT 2X6W T111</t>
  </si>
  <si>
    <t>R21 cavity+R4 foam ADV 2X6W T111</t>
  </si>
  <si>
    <t>R21 cavity+R5 foam STD 2X6W Lap</t>
  </si>
  <si>
    <t>R21 cavity+R5 foam INT 2X6W Lap</t>
  </si>
  <si>
    <t>R21 cavity+R5 foam ADV 2X6W Lap</t>
  </si>
  <si>
    <t>R21 cavity+R5 foam STD 2X6W T111</t>
  </si>
  <si>
    <t>R21 cavity+R5 foam INT 2X6W T111</t>
  </si>
  <si>
    <t>R21 cavity+R5 foam ADV 2X6W T111</t>
  </si>
  <si>
    <t>R21 cavity+R6 foam STD 2X6W Lap</t>
  </si>
  <si>
    <t>R21 cavity+R6 foam INT 2X6W Lap</t>
  </si>
  <si>
    <t>R21 cavity+R6 foam ADV 2X6W Lap</t>
  </si>
  <si>
    <t>R21 cavity+R6 foam STD 2X6W T111</t>
  </si>
  <si>
    <t>R21 cavity+R6 foam INT 2X6W T111</t>
  </si>
  <si>
    <t>R21 cavity+R6 foam ADV 2X6W T111</t>
  </si>
  <si>
    <t>R21 cavity+R7 foam STD 2X6W Lap</t>
  </si>
  <si>
    <t>R21 cavity+R7 foam INT 2X6W Lap</t>
  </si>
  <si>
    <t>R21 cavity+R7 foam ADV 2X6W Lap</t>
  </si>
  <si>
    <t>R21 cavity+R7 foam STD 2X6W T111</t>
  </si>
  <si>
    <t>R21 cavity+R7 foam INT 2X6W T111</t>
  </si>
  <si>
    <t>R21 cavity+R7 foam ADV 2X6W T111</t>
  </si>
  <si>
    <t>R21 cavity+R8 foam STD 2X6W Lap</t>
  </si>
  <si>
    <t>R21 cavity+R8 foam INT 2X6W Lap</t>
  </si>
  <si>
    <t>R21 cavity+R8 foam ADV 2X6W Lap</t>
  </si>
  <si>
    <t>R21 cavity+R8 foam STD 2X6W T111</t>
  </si>
  <si>
    <t>R21 cavity+R8 foam INT 2X6W T111</t>
  </si>
  <si>
    <t>R21 cavity+R8 foam ADV 2X6W T111</t>
  </si>
  <si>
    <t>R21 cavity+R9 foam STD 2X6W Lap</t>
  </si>
  <si>
    <t>R21 cavity+R9 foam INT 2X6W Lap</t>
  </si>
  <si>
    <t>R21 cavity+R9 foam ADV 2X6W Lap</t>
  </si>
  <si>
    <t>R21 cavity+R9 foam STD 2X6W T111</t>
  </si>
  <si>
    <t>R21 cavity+R9 foam INT 2X6W T111</t>
  </si>
  <si>
    <t>R21 cavity+R9 foam ADV 2X6W T111</t>
  </si>
  <si>
    <t>R21 cavity+R10 foam STD 2X6W Lap</t>
  </si>
  <si>
    <t>R21 cavity+R10 foam INT 2X6W Lap</t>
  </si>
  <si>
    <t>R21 cavity+R10 foam ADV 2X6W Lap</t>
  </si>
  <si>
    <t>R21 cavity+R10 foam STD 2X6W T111</t>
  </si>
  <si>
    <t>R21 cavity+R10 foam INT 2X6W T111</t>
  </si>
  <si>
    <t>R21 cavity+R10 foam ADV 2X6W T111</t>
  </si>
  <si>
    <t>R21 cavity+R11 foam STD 2X6W Lap</t>
  </si>
  <si>
    <t>R21 cavity+R11 foam INT 2X6W Lap</t>
  </si>
  <si>
    <t>R21 cavity+R11 foam ADV 2X6W Lap</t>
  </si>
  <si>
    <t>R21 cavity+R11 foam STD 2X6W T111</t>
  </si>
  <si>
    <t>R21 cavity+R11 foam INT 2X6W T111</t>
  </si>
  <si>
    <t>R21 cavity+R11 foam ADV 2X6W T111</t>
  </si>
  <si>
    <t>R21 cavity+R12 foam STD 2X6W Lap</t>
  </si>
  <si>
    <t>R21 cavity+R12 foam INT 2X6W Lap</t>
  </si>
  <si>
    <t>R21 cavity+R12 foam ADV 2X6W Lap</t>
  </si>
  <si>
    <t>R21 cavity+R12 foam STD 2X6W T111</t>
  </si>
  <si>
    <t>R21 cavity+R12 foam INT 2X6W T111</t>
  </si>
  <si>
    <t>R21 cavity+R12 foam ADV 2X6W T111</t>
  </si>
  <si>
    <t>R22 cavity+R0 foam STD 2X6W Lap</t>
  </si>
  <si>
    <t>R22 cavity+R0 foam INT 2X6W Lap</t>
  </si>
  <si>
    <t>R22 cavity+R0 foam ADV 2X6W Lap</t>
  </si>
  <si>
    <t>R22 cavity+R0 foam STD 2X6W T111</t>
  </si>
  <si>
    <t>R22 cavity+R0 foam INT 2X6W T111</t>
  </si>
  <si>
    <t>R22 cavity+R0 foam ADV 2X6W T111</t>
  </si>
  <si>
    <t>R22 cavity+R1 foam STD 2X6W Lap</t>
  </si>
  <si>
    <t>R22 cavity+R1 foam INT 2X6W Lap</t>
  </si>
  <si>
    <t>R22 cavity+R1 foam ADV 2X6W Lap</t>
  </si>
  <si>
    <t>R22 cavity+R1 foam STD 2X6W T111</t>
  </si>
  <si>
    <t>R22 cavity+R1 foam INT 2X6W T111</t>
  </si>
  <si>
    <t>R22 cavity+R1 foam ADV 2X6W T111</t>
  </si>
  <si>
    <t>R22 cavity+R2 foam STD 2X6W Lap</t>
  </si>
  <si>
    <t>R22 cavity+R2 foam INT 2X6W Lap</t>
  </si>
  <si>
    <t>R22 cavity+R2 foam ADV 2X6W Lap</t>
  </si>
  <si>
    <t>R22 cavity+R2 foam STD 2X6W T111</t>
  </si>
  <si>
    <t>R22 cavity+R2 foam INT 2X6W T111</t>
  </si>
  <si>
    <t>R22 cavity+R2 foam ADV 2X6W T111</t>
  </si>
  <si>
    <t>R22 cavity+R3 foam STD 2X6W Lap</t>
  </si>
  <si>
    <t>R22 cavity+R3 foam INT 2X6W Lap</t>
  </si>
  <si>
    <t>R22 cavity+R3 foam ADV 2X6W Lap</t>
  </si>
  <si>
    <t>R22 cavity+R3 foam STD 2X6W T111</t>
  </si>
  <si>
    <t>R22 cavity+R3 foam INT 2X6W T111</t>
  </si>
  <si>
    <t>R22 cavity+R3 foam ADV 2X6W T111</t>
  </si>
  <si>
    <t>R22 cavity+R4 foam STD 2X6W Lap</t>
  </si>
  <si>
    <t>R22 cavity+R4 foam INT 2X6W Lap</t>
  </si>
  <si>
    <t>R22 cavity+R4 foam ADV 2X6W Lap</t>
  </si>
  <si>
    <t>R22 cavity+R4 foam STD 2X6W T111</t>
  </si>
  <si>
    <t>R22 cavity+R4 foam INT 2X6W T111</t>
  </si>
  <si>
    <t>R22 cavity+R4 foam ADV 2X6W T111</t>
  </si>
  <si>
    <t>R22 cavity+R5 foam STD 2X6W Lap</t>
  </si>
  <si>
    <t>R22 cavity+R5 foam INT 2X6W Lap</t>
  </si>
  <si>
    <t>R22 cavity+R5 foam ADV 2X6W Lap</t>
  </si>
  <si>
    <t>R22 cavity+R5 foam STD 2X6W T111</t>
  </si>
  <si>
    <t>R22 cavity+R5 foam INT 2X6W T111</t>
  </si>
  <si>
    <t>R22 cavity+R5 foam ADV 2X6W T111</t>
  </si>
  <si>
    <t>R22 cavity+R6 foam STD 2X6W Lap</t>
  </si>
  <si>
    <t>R22 cavity+R6 foam INT 2X6W Lap</t>
  </si>
  <si>
    <t>R22 cavity+R6 foam ADV 2X6W Lap</t>
  </si>
  <si>
    <t>R22 cavity+R6 foam STD 2X6W T111</t>
  </si>
  <si>
    <t>R22 cavity+R6 foam INT 2X6W T111</t>
  </si>
  <si>
    <t>R22 cavity+R6 foam ADV 2X6W T111</t>
  </si>
  <si>
    <t>R22 cavity+R7 foam STD 2X6W Lap</t>
  </si>
  <si>
    <t>R22 cavity+R7 foam INT 2X6W Lap</t>
  </si>
  <si>
    <t>R22 cavity+R7 foam ADV 2X6W Lap</t>
  </si>
  <si>
    <t>R22 cavity+R7 foam STD 2X6W T111</t>
  </si>
  <si>
    <t>R22 cavity+R7 foam INT 2X6W T111</t>
  </si>
  <si>
    <t>R22 cavity+R7 foam ADV 2X6W T111</t>
  </si>
  <si>
    <t>R22 cavity+R8 foam STD 2X6W Lap</t>
  </si>
  <si>
    <t>R22 cavity+R8 foam INT 2X6W Lap</t>
  </si>
  <si>
    <t>R22 cavity+R8 foam ADV 2X6W Lap</t>
  </si>
  <si>
    <t>R22 cavity+R8 foam STD 2X6W T111</t>
  </si>
  <si>
    <t>R22 cavity+R8 foam INT 2X6W T111</t>
  </si>
  <si>
    <t>R22 cavity+R8 foam ADV 2X6W T111</t>
  </si>
  <si>
    <t>R22 cavity+R9 foam STD 2X6W Lap</t>
  </si>
  <si>
    <t>R22 cavity+R9 foam INT 2X6W Lap</t>
  </si>
  <si>
    <t>R22 cavity+R9 foam ADV 2X6W Lap</t>
  </si>
  <si>
    <t>R22 cavity+R9 foam STD 2X6W T111</t>
  </si>
  <si>
    <t>R22 cavity+R9 foam INT 2X6W T111</t>
  </si>
  <si>
    <t>R22 cavity+R9 foam ADV 2X6W T111</t>
  </si>
  <si>
    <t>R22 cavity+R10 foam STD 2X6W Lap</t>
  </si>
  <si>
    <t>R22 cavity+R10 foam INT 2X6W Lap</t>
  </si>
  <si>
    <t>R22 cavity+R10 foam ADV 2X6W Lap</t>
  </si>
  <si>
    <t>R22 cavity+R10 foam STD 2X6W T111</t>
  </si>
  <si>
    <t>R22 cavity+R10 foam INT 2X6W T111</t>
  </si>
  <si>
    <t>R22 cavity+R10 foam ADV 2X6W T111</t>
  </si>
  <si>
    <t>R22 cavity+R11 foam STD 2X6W Lap</t>
  </si>
  <si>
    <t>R22 cavity+R11 foam INT 2X6W Lap</t>
  </si>
  <si>
    <t>R22 cavity+R11 foam ADV 2X6W Lap</t>
  </si>
  <si>
    <t>R22 cavity+R11 foam STD 2X6W T111</t>
  </si>
  <si>
    <t>R22 cavity+R11 foam INT 2X6W T111</t>
  </si>
  <si>
    <t>R22 cavity+R11 foam ADV 2X6W T111</t>
  </si>
  <si>
    <t>R22 cavity+R12 foam STD 2X6W Lap</t>
  </si>
  <si>
    <t>R22 cavity+R12 foam INT 2X6W Lap</t>
  </si>
  <si>
    <t>R22 cavity+R12 foam ADV 2X6W Lap</t>
  </si>
  <si>
    <t>R22 cavity+R12 foam STD 2X6W T111</t>
  </si>
  <si>
    <t>R22 cavity+R12 foam INT 2X6W T111</t>
  </si>
  <si>
    <t>R22 cavity+R12 foam ADV 2X6W T111</t>
  </si>
  <si>
    <t>R11+11 cavity+R0 foam STD 2X6W Lap</t>
  </si>
  <si>
    <t>R11+11 cavity+R0 foam INT 2X6W Lap</t>
  </si>
  <si>
    <t>R11+11 cavity+R0 foam ADV 2X6W Lap</t>
  </si>
  <si>
    <t>R11+11 cavity+R0 foam STD 2X6W T111</t>
  </si>
  <si>
    <t>R11+11 cavity+R0 foam INT 2X6W T111</t>
  </si>
  <si>
    <t>R11+11 cavity+R0 foam ADV 2X6W T111</t>
  </si>
  <si>
    <t>R11+11 cavity+R1 foam STD 2X6W Lap</t>
  </si>
  <si>
    <t>R11+11 cavity+R1 foam INT 2X6W Lap</t>
  </si>
  <si>
    <t>R11+11 cavity+R1 foam ADV 2X6W Lap</t>
  </si>
  <si>
    <t>R11+11 cavity+R1 foam STD 2X6W T111</t>
  </si>
  <si>
    <t>R11+11 cavity+R1 foam INT 2X6W T111</t>
  </si>
  <si>
    <t>R11+11 cavity+R1 foam ADV 2X6W T111</t>
  </si>
  <si>
    <t>R11+11 cavity+R2 foam STD 2X6W Lap</t>
  </si>
  <si>
    <t>R11+11 cavity+R2 foam INT 2X6W Lap</t>
  </si>
  <si>
    <t>R11+11 cavity+R2 foam ADV 2X6W Lap</t>
  </si>
  <si>
    <t>R11+11 cavity+R2 foam STD 2X6W T111</t>
  </si>
  <si>
    <t>R11+11 cavity+R2 foam INT 2X6W T111</t>
  </si>
  <si>
    <t>R11+11 cavity+R2 foam ADV 2X6W T111</t>
  </si>
  <si>
    <t>R11+11 cavity+R3 foam STD 2X6W Lap</t>
  </si>
  <si>
    <t>R11+11 cavity+R3 foam INT 2X6W Lap</t>
  </si>
  <si>
    <t>R11+11 cavity+R3 foam ADV 2X6W Lap</t>
  </si>
  <si>
    <t>R11+11 cavity+R3 foam STD 2X6W T111</t>
  </si>
  <si>
    <t>R11+11 cavity+R3 foam INT 2X6W T111</t>
  </si>
  <si>
    <t>R11+11 cavity+R3 foam ADV 2X6W T111</t>
  </si>
  <si>
    <t>R11+11 cavity+R4 foam STD 2X6W Lap</t>
  </si>
  <si>
    <t>R11+11 cavity+R4 foam INT 2X6W Lap</t>
  </si>
  <si>
    <t>R11+11 cavity+R4 foam ADV 2X6W Lap</t>
  </si>
  <si>
    <t>R11+11 cavity+R4 foam STD 2X6W T111</t>
  </si>
  <si>
    <t>R11+11 cavity+R4 foam INT 2X6W T111</t>
  </si>
  <si>
    <t>R11+11 cavity+R4 foam ADV 2X6W T111</t>
  </si>
  <si>
    <t>R11+11 cavity+R5 foam STD 2X6W Lap</t>
  </si>
  <si>
    <t>R11+11 cavity+R5 foam INT 2X6W Lap</t>
  </si>
  <si>
    <t>R11+11 cavity+R5 foam ADV 2X6W Lap</t>
  </si>
  <si>
    <t>R11+11 cavity+R5 foam STD 2X6W T111</t>
  </si>
  <si>
    <t>R11+11 cavity+R5 foam INT 2X6W T111</t>
  </si>
  <si>
    <t>R11+11 cavity+R5 foam ADV 2X6W T111</t>
  </si>
  <si>
    <t>R11+11 cavity+R6 foam STD 2X6W Lap</t>
  </si>
  <si>
    <t>R11+11 cavity+R6 foam INT 2X6W Lap</t>
  </si>
  <si>
    <t>R11+11 cavity+R6 foam ADV 2X6W Lap</t>
  </si>
  <si>
    <t>R11+11 cavity+R6 foam STD 2X6W T111</t>
  </si>
  <si>
    <t>R11+11 cavity+R6 foam INT 2X6W T111</t>
  </si>
  <si>
    <t>R11+11 cavity+R6 foam ADV 2X6W T111</t>
  </si>
  <si>
    <t>R11+11 cavity+R7 foam STD 2X6W Lap</t>
  </si>
  <si>
    <t>R11+11 cavity+R7 foam INT 2X6W Lap</t>
  </si>
  <si>
    <t>R11+11 cavity+R7 foam ADV 2X6W Lap</t>
  </si>
  <si>
    <t>R11+11 cavity+R7 foam STD 2X6W T111</t>
  </si>
  <si>
    <t>R11+11 cavity+R7 foam INT 2X6W T111</t>
  </si>
  <si>
    <t>R11+11 cavity+R7 foam ADV 2X6W T111</t>
  </si>
  <si>
    <t>R11+11 cavity+R8 foam STD 2X6W Lap</t>
  </si>
  <si>
    <t>R11+11 cavity+R8 foam INT 2X6W Lap</t>
  </si>
  <si>
    <t>R11+11 cavity+R8 foam ADV 2X6W Lap</t>
  </si>
  <si>
    <t>R11+11 cavity+R8 foam STD 2X6W T111</t>
  </si>
  <si>
    <t>R11+11 cavity+R8 foam INT 2X6W T111</t>
  </si>
  <si>
    <t>R11+11 cavity+R8 foam ADV 2X6W T111</t>
  </si>
  <si>
    <t>R11+11 cavity+R9 foam STD 2X6W Lap</t>
  </si>
  <si>
    <t>R11+11 cavity+R9 foam INT 2X6W Lap</t>
  </si>
  <si>
    <t>R11+11 cavity+R9 foam ADV 2X6W Lap</t>
  </si>
  <si>
    <t>R11+11 cavity+R9 foam STD 2X6W T111</t>
  </si>
  <si>
    <t>R11+11 cavity+R9 foam INT 2X6W T111</t>
  </si>
  <si>
    <t>R11+11 cavity+R9 foam ADV 2X6W T111</t>
  </si>
  <si>
    <t>R11+11 cavity+R10 foam STD 2X6W Lap</t>
  </si>
  <si>
    <t>R11+11 cavity+R10 foam INT 2X6W Lap</t>
  </si>
  <si>
    <t>R11+11 cavity+R10 foam ADV 2X6W Lap</t>
  </si>
  <si>
    <t>R11+11 cavity+R10 foam STD 2X6WT111</t>
  </si>
  <si>
    <t>R11+11 cavity+R10 foam INT 2X6W T111</t>
  </si>
  <si>
    <t>R11+11 cavity+R10 foam ADV 2X6WT111</t>
  </si>
  <si>
    <t>R11+11 cavity+R11 foam STD 2X6W Lap</t>
  </si>
  <si>
    <t>R11+11 cavity+R11 foam INT 2X6W Lap</t>
  </si>
  <si>
    <t>R11+11 cavity+R11 foam ADV 2X6W Lap</t>
  </si>
  <si>
    <t>R11+11 cavity+R11 foam STD 2X6WT111</t>
  </si>
  <si>
    <t>R11+11 cavity+R11 foam INT 2X6W T111</t>
  </si>
  <si>
    <t>R11+11 cavity+R11 foam ADV 2X6WT111</t>
  </si>
  <si>
    <t>R11+11 cavity+R12 foam STD 2X6W Lap</t>
  </si>
  <si>
    <t>R11+11 cavity+R12 foam INT 2X6W Lap</t>
  </si>
  <si>
    <t>R11+11 cavity+R12 foam ADV 2X6W Lap</t>
  </si>
  <si>
    <t>R11+11 cavity+R12 foam STD 2X6WT111</t>
  </si>
  <si>
    <t>R11+11 cavity+R12 foam INT 2X6W T111</t>
  </si>
  <si>
    <t>R11+11 cavity+R12 foam ADV 2X6WT111</t>
  </si>
  <si>
    <t>R25 cavity+R0 foam STD 2X8W Lap</t>
  </si>
  <si>
    <t>R25 cavity+R0 foam INT 2X8W Lap</t>
  </si>
  <si>
    <t>R25 cavity+R0 foam ADV 2X8W Lap</t>
  </si>
  <si>
    <t>R25 cavity+R0 foam STD 2X8W T111</t>
  </si>
  <si>
    <t>R25 cavity+R0 foam INT 2X8W T111</t>
  </si>
  <si>
    <t>R25 cavity+R0 foam ADV 2X8W T111</t>
  </si>
  <si>
    <t>R25 cavity+R1 foam STD 2X8W Lap</t>
  </si>
  <si>
    <t>R25 cavity+R1 foam INT 2X8W Lap</t>
  </si>
  <si>
    <t>R25 cavity+R1 foam ADV 2X8W Lap</t>
  </si>
  <si>
    <t>R25 cavity+R1 foam STD 2X8W T111</t>
  </si>
  <si>
    <t>R25 cavity+R1 foam INT 2X8W T111</t>
  </si>
  <si>
    <t>R25 cavity+R1 foam ADV 2X8W T111</t>
  </si>
  <si>
    <t>R25 cavity+R2 foam STD 2X8W Lap</t>
  </si>
  <si>
    <t>R25 cavity+R2 foam INT 2X8W Lap</t>
  </si>
  <si>
    <t>R25 cavity+R2 foam ADV 2X8W Lap</t>
  </si>
  <si>
    <t>R25 cavity+R2 foam STD 2X8W T111</t>
  </si>
  <si>
    <t>R25 cavity+R2 foam INT 2X8W T111</t>
  </si>
  <si>
    <t>R25 cavity+R2 foam ADV 2X8W T111</t>
  </si>
  <si>
    <t>R25 cavity+R3 foam STD 2X8W Lap</t>
  </si>
  <si>
    <t>R25 cavity+R3 foam INT 2X8W Lap</t>
  </si>
  <si>
    <t>R25 cavity+R3 foam ADV 2X8W Lap</t>
  </si>
  <si>
    <t>R25 cavity+R3 foam STD 2X8W T111</t>
  </si>
  <si>
    <t>R25 cavity+R3 foam INT 2X8W T111</t>
  </si>
  <si>
    <t>R25 cavity+R3 foam ADV 2X8W T111</t>
  </si>
  <si>
    <t>R25 cavity+R4 foam STD 2X8W Lap</t>
  </si>
  <si>
    <t>R25 cavity+R4 foam INT 2X8W Lap</t>
  </si>
  <si>
    <t>R25 cavity+R4 foam ADV 2X8W Lap</t>
  </si>
  <si>
    <t>R25 cavity+R4 foam STD 2X8W T111</t>
  </si>
  <si>
    <t>R25 cavity+R4 foam INT 2X8W T111</t>
  </si>
  <si>
    <t>R25 cavity+R4 foam ADV 2X8W T111</t>
  </si>
  <si>
    <t>R25 cavity+R5 foam STD 2X8W Lap</t>
  </si>
  <si>
    <t>R25 cavity+R5 foam INT 2X8W Lap</t>
  </si>
  <si>
    <t>R25 cavity+R5 foam ADV 2X8W Lap</t>
  </si>
  <si>
    <t>R25 cavity+R5 foam STD 2X8W T111</t>
  </si>
  <si>
    <t>R25 cavity+R5 foam INT 2X8W T111</t>
  </si>
  <si>
    <t>R25 cavity+R5 foam ADV 2X8W T111</t>
  </si>
  <si>
    <t>R25 cavity+R6 foam STD 2X8W Lap</t>
  </si>
  <si>
    <t>R25 cavity+R6 foam INT 2X8W Lap</t>
  </si>
  <si>
    <t>R25 cavity+R6 foam ADV 2X8W Lap</t>
  </si>
  <si>
    <t>R25 cavity+R6 foam STD 2X8W T111</t>
  </si>
  <si>
    <t>R25 cavity+R6 foam INT 2X8W T111</t>
  </si>
  <si>
    <t>R25 cavity+R6 foam ADV 2X8W T111</t>
  </si>
  <si>
    <t>R25 cavity+R7 foam STD 2X8W Lap</t>
  </si>
  <si>
    <t>R25 cavity+R7 foam INT 2X8W Lap</t>
  </si>
  <si>
    <t>R25 cavity+R7 foam ADV 2X8W Lap</t>
  </si>
  <si>
    <t>R25 cavity+R7 foam STD 2X8W T111</t>
  </si>
  <si>
    <t>R25 cavity+R7 foam INT 2X8W T111</t>
  </si>
  <si>
    <t>R25 cavity+R7 foam ADV 2X8W T111</t>
  </si>
  <si>
    <t>R25 cavity+R8 foam STD 2X8W Lap</t>
  </si>
  <si>
    <t>R25 cavity+R8 foam INT 2X8W Lap</t>
  </si>
  <si>
    <t>R25 cavity+R8 foam ADV 2X8W Lap</t>
  </si>
  <si>
    <t>R25 cavity+R8 foam STD 2X8W T111</t>
  </si>
  <si>
    <t>R25 cavity+R8 foam INT 2X8W T111</t>
  </si>
  <si>
    <t>R25 cavity+R8 foam ADV 2X8W T111</t>
  </si>
  <si>
    <t>R25 cavity+R9 foam STD 2X8W Lap</t>
  </si>
  <si>
    <t>R25 cavity+R9 foam INT 2X8W Lap</t>
  </si>
  <si>
    <t>R25 cavity+R9 foam ADV 2X8W Lap</t>
  </si>
  <si>
    <t>R25 cavity+R9 foam STD 2X8W T111</t>
  </si>
  <si>
    <t>R25 cavity+R9 foam INT 2X8W T111</t>
  </si>
  <si>
    <t>R25 cavity+R9 foam ADV 2X8W T111</t>
  </si>
  <si>
    <t>R25 cavity+R10 foam STD 2X8W Lap</t>
  </si>
  <si>
    <t>R25 cavity+R10 foam INT 2X8W Lap</t>
  </si>
  <si>
    <t>R25 cavity+R10 foam ADV 2X8W Lap</t>
  </si>
  <si>
    <t>R25 cavity+R10 foam STD 2X8W T111</t>
  </si>
  <si>
    <t>R25 cavity+R10 foam INT 2X8W T111</t>
  </si>
  <si>
    <t>R25 cavity+R10 foam ADV 2X8W T111</t>
  </si>
  <si>
    <t>R25 cavity+R11 foam STD 2X8W Lap</t>
  </si>
  <si>
    <t>R25 cavity+R11 foam INT 2X8W Lap</t>
  </si>
  <si>
    <t>R25 cavity+R11 foam ADV 2X8W Lap</t>
  </si>
  <si>
    <t>R25 cavity+R11 foam STD 2X8W T111</t>
  </si>
  <si>
    <t>R25 cavity+R11 foam INT 2X8W T111</t>
  </si>
  <si>
    <t>R25 cavity+R11 foam ADV 2X8W T111</t>
  </si>
  <si>
    <t>R25 cavity+R12 foam STD 2X8W Lap</t>
  </si>
  <si>
    <t>R25 cavity+R12 foam INT 2X8W Lap</t>
  </si>
  <si>
    <t>R25 cavity+R12 foam ADV 2X8W Lap</t>
  </si>
  <si>
    <t>R25 cavity+R12 foam STD 2X8W T111</t>
  </si>
  <si>
    <t>R25 cavity+R12 foam INT 2X8W T111</t>
  </si>
  <si>
    <t>R25 cavity+R12 foam ADV 2X8W T111</t>
  </si>
  <si>
    <t>R19+11 Strap 2X6W STD Lap</t>
  </si>
  <si>
    <t>R19+11 Strap 2X6W ADV Lap</t>
  </si>
  <si>
    <t>R19+11 Strap 2X6W STD T111</t>
  </si>
  <si>
    <t>R19+11 Strap 2X6W ADV T111</t>
  </si>
  <si>
    <t>R19+8 Strap 2X6W STD Lap</t>
  </si>
  <si>
    <t>R19+8 Strap 2X6W ADV Lap</t>
  </si>
  <si>
    <t>R19+8 Strap 2X6W STD T111</t>
  </si>
  <si>
    <t>R19+8 Strap 2X6W ADV T111</t>
  </si>
  <si>
    <t>R19+0+11 2X6+2X4W STD Lap</t>
  </si>
  <si>
    <t>R19+0+11 2X6+2X4W ADV Lap</t>
  </si>
  <si>
    <t>R19+0+11 2X6+2X4W STD T111</t>
  </si>
  <si>
    <t>R19+0+11 2X6+2X4W ADV T111</t>
  </si>
  <si>
    <t>R19+0+19 2X6+2X4W STD Lap</t>
  </si>
  <si>
    <t>R19+0+19 2X6+2X4W ADV Lap</t>
  </si>
  <si>
    <t>R19+0+19 2X6+2X4W STD T111</t>
  </si>
  <si>
    <t>R19+0+19 2X6+2X4W ADV T111</t>
  </si>
  <si>
    <t>R19+8+11 2X6+2X4W STD Lap</t>
  </si>
  <si>
    <t>R19+8+11 2X6+2X4W ADV Lap</t>
  </si>
  <si>
    <t>R19+8+11 2X6+2X4W STD T111</t>
  </si>
  <si>
    <t>R19+8+11 2X6+2X4W ADV T111</t>
  </si>
  <si>
    <t>R11+11+11 2X6+2X4W STD Lap</t>
  </si>
  <si>
    <t>R11+11+11 2X6+2X4W ADV Lap</t>
  </si>
  <si>
    <t>R11+11+11 2X6+2X4W STD T111</t>
  </si>
  <si>
    <t>R11+11+11 2X6+2X4W ADV T111</t>
  </si>
  <si>
    <t>R25 cavity+R2 foam Metal 24"OC</t>
  </si>
  <si>
    <t>R25 cavity+R3 foam Metal 24"OC</t>
  </si>
  <si>
    <t>R25 cavity+R4 foam Metal 24"OC</t>
  </si>
  <si>
    <t>R25 cavity+R5 foam Metal 24"OC</t>
  </si>
  <si>
    <t>R25 cavity+R6 foam Metal 24"OC</t>
  </si>
  <si>
    <t>R25 cavity+R7 foam Metal 24"OC</t>
  </si>
  <si>
    <t>R25 cavity+R8 foam Metal 24"OC</t>
  </si>
  <si>
    <t>R25 cavity+R9 foam Metal 24"OC</t>
  </si>
  <si>
    <t>R25 cavity+R10 foam Metal 24"OC</t>
  </si>
  <si>
    <t>R0 Exposed 8"block+empty</t>
  </si>
  <si>
    <t xml:space="preserve">R0 Exposed 8"block+perlite </t>
  </si>
  <si>
    <t>R0 Exposed 8"block+vermiculite</t>
  </si>
  <si>
    <t xml:space="preserve">R0 Exposed 8"block+solid. </t>
  </si>
  <si>
    <t xml:space="preserve">R5 int. Wood furring 8"block+empty </t>
  </si>
  <si>
    <t xml:space="preserve">R5 int. Wood furring 8"block+perlite </t>
  </si>
  <si>
    <t>R5 int. Wood furring 8"block+vermiculite</t>
  </si>
  <si>
    <t xml:space="preserve">R5 int. Wood furring 8"block+solid </t>
  </si>
  <si>
    <t xml:space="preserve">R6 int. Wood furring 8"block+empty </t>
  </si>
  <si>
    <t xml:space="preserve">R6 int. Wood furring 8"block+perlite </t>
  </si>
  <si>
    <t>R6 int. Wood furring 8"block+vermiculite</t>
  </si>
  <si>
    <t xml:space="preserve">R6 int. Wood furring 8"block+solid </t>
  </si>
  <si>
    <t xml:space="preserve">R10.5 int. Wood furring 8"block+empty </t>
  </si>
  <si>
    <t xml:space="preserve">R10.5 int. Wood furring 8"block+perlite </t>
  </si>
  <si>
    <t>R10.5 int. Wood furring 8"block+vermic.</t>
  </si>
  <si>
    <t xml:space="preserve">R10.5 int. Wood furring 8"block+solid </t>
  </si>
  <si>
    <t xml:space="preserve">R8 int. Metal Clips 8"block+empty </t>
  </si>
  <si>
    <t xml:space="preserve">R8 int. Metal Clips 8"block+perlite </t>
  </si>
  <si>
    <t>R8 int. Metal Clips 8"block+vermiculite</t>
  </si>
  <si>
    <t xml:space="preserve">R8 int. Metal Clips 8"block+solid </t>
  </si>
  <si>
    <t xml:space="preserve">R6 Exterior  8"block+empty </t>
  </si>
  <si>
    <t xml:space="preserve">R6 Exterior  8"block+perlite </t>
  </si>
  <si>
    <t>R6 Exterior  8"block+vermiculite</t>
  </si>
  <si>
    <t xml:space="preserve">R6 Exterior  8"block+solid </t>
  </si>
  <si>
    <t xml:space="preserve">R10 Exterior  8"block+empty </t>
  </si>
  <si>
    <t xml:space="preserve">R10 Exterior  8"block+perlite </t>
  </si>
  <si>
    <t>R10 Exterior  8"block+vermiculite</t>
  </si>
  <si>
    <t xml:space="preserve">R10 Exterior  8"block+solid </t>
  </si>
  <si>
    <t xml:space="preserve">R9.5 Poly Two Web  8"block+empty </t>
  </si>
  <si>
    <t xml:space="preserve">R9.5 Poly Two Web  8"block+perlite </t>
  </si>
  <si>
    <t>R9.5 Poly Two Web  8"block+vermiculite</t>
  </si>
  <si>
    <t xml:space="preserve">R9.5 Poly Two Web  8"block+solid </t>
  </si>
  <si>
    <t>R0 Exposed 12"block+empty</t>
  </si>
  <si>
    <t xml:space="preserve">R0 Exposed 12"block+perlite </t>
  </si>
  <si>
    <t>R0 Exposed 12"block+vermiculite</t>
  </si>
  <si>
    <t xml:space="preserve">R0 Exposed 12"block+solid. </t>
  </si>
  <si>
    <t xml:space="preserve">R5 int. Wood furring 12"block+empty </t>
  </si>
  <si>
    <t xml:space="preserve">R5 int. Wood furring 12"block+perlite </t>
  </si>
  <si>
    <t>R5 int. Wood furring 12"block+vermiculite</t>
  </si>
  <si>
    <t xml:space="preserve">R5 int. Wood furring 12"block+solid </t>
  </si>
  <si>
    <t xml:space="preserve">R6 int. Wood furring 12"block+empty </t>
  </si>
  <si>
    <t xml:space="preserve">R6 int. Wood furring 12"block+perlite </t>
  </si>
  <si>
    <t>R6 int. Wood furring 12"block+vermiculite</t>
  </si>
  <si>
    <t xml:space="preserve">R6 int. Wood furring 12"block+solid </t>
  </si>
  <si>
    <t xml:space="preserve">R10.5 int. Wood furring 12"block+empty </t>
  </si>
  <si>
    <t xml:space="preserve">R10.5 int. Wood furring 12"block+perlite </t>
  </si>
  <si>
    <t>R10.5 int. Wood furring 12"block+vermic.</t>
  </si>
  <si>
    <t xml:space="preserve">R10.5 int. Wood furring 12"block+solid </t>
  </si>
  <si>
    <t xml:space="preserve">R8 int. Metal Clips 12"block+empty </t>
  </si>
  <si>
    <t xml:space="preserve">R8 int. Metal Clips 12"block+perlite </t>
  </si>
  <si>
    <t>R8 int. Metal Clips 12"block+vermiculite</t>
  </si>
  <si>
    <t xml:space="preserve">R8 int. Metal Clips 12"block+solid </t>
  </si>
  <si>
    <t xml:space="preserve">R6 Exterior  12"block+empty </t>
  </si>
  <si>
    <t xml:space="preserve">R6 Exterior  12"block+perlite </t>
  </si>
  <si>
    <t>R6 Exterior  12"block+vermiculite</t>
  </si>
  <si>
    <t xml:space="preserve">R6 Exterior  12"block+solid </t>
  </si>
  <si>
    <t xml:space="preserve">R10 Exterior  12"block+empty </t>
  </si>
  <si>
    <t xml:space="preserve">R10 Exterior  12"block+perlite </t>
  </si>
  <si>
    <t>R10 Exterior  12"block+vermiculite</t>
  </si>
  <si>
    <t xml:space="preserve">R10 Exterior  12"block+solid </t>
  </si>
  <si>
    <t xml:space="preserve">R9.5 Poly Two Web  12"block+empty </t>
  </si>
  <si>
    <t xml:space="preserve">R9.5 Poly Two Web  12"block+perlite </t>
  </si>
  <si>
    <t>R9.5 Poly Two Web  12"block+vermic.</t>
  </si>
  <si>
    <t xml:space="preserve">R9.5 Poly Two Web  12"block+solid </t>
  </si>
  <si>
    <t>R0 Exposed 8"brick+empty</t>
  </si>
  <si>
    <t xml:space="preserve">R0 Exposed 8"brick+perlite </t>
  </si>
  <si>
    <t>R0 Exposed 8"brick+vermiculite</t>
  </si>
  <si>
    <t xml:space="preserve">R0 Exposed 8"brick+solid. </t>
  </si>
  <si>
    <t xml:space="preserve">R5 Wood furring 8"brick+empty </t>
  </si>
  <si>
    <t xml:space="preserve">R5 int.. Wood furring 8"brick+perlite </t>
  </si>
  <si>
    <t>R5 int. Wood furring 8"brick+vermiculite</t>
  </si>
  <si>
    <t xml:space="preserve">R5 int. Wood furring 8"brick+solid </t>
  </si>
  <si>
    <t xml:space="preserve">R6 int. Wood furring 8"brick+empty </t>
  </si>
  <si>
    <t xml:space="preserve">R6 int. Wood furring 8"brick+perlite </t>
  </si>
  <si>
    <t>R6 int. Wood furring 8"brick+vermiculite</t>
  </si>
  <si>
    <t xml:space="preserve">R6 int. Wood furring 8"brick+solid </t>
  </si>
  <si>
    <t xml:space="preserve">R10.5 int. Wood furring 8"brick+empty </t>
  </si>
  <si>
    <t xml:space="preserve">R10.5 int. Wood furring 8"brick+perlite </t>
  </si>
  <si>
    <t>R10.5 int. Wood furring 8"brick+vermic</t>
  </si>
  <si>
    <t xml:space="preserve">R10.5 int. Wood furring 8"brick+solid </t>
  </si>
  <si>
    <t xml:space="preserve">R8 int. Metal Clips 8"brick+empty </t>
  </si>
  <si>
    <t xml:space="preserve">R8 int. Metal Clips 8"brick+perlite </t>
  </si>
  <si>
    <t>R8 int. Metal Clips 8"brick+vermiculite</t>
  </si>
  <si>
    <t xml:space="preserve">R8 int. Metal Clips 8"brick+solid </t>
  </si>
  <si>
    <t xml:space="preserve">R6 Exterior  8"brick+empty </t>
  </si>
  <si>
    <t xml:space="preserve">R6 Exterior  8"brick+perlite </t>
  </si>
  <si>
    <t>R6 Exterior  8"brick+vermiculite</t>
  </si>
  <si>
    <t xml:space="preserve">R6 Exterior  8"brick+solid </t>
  </si>
  <si>
    <t xml:space="preserve">R10 Exterior  8"brick+empty </t>
  </si>
  <si>
    <t xml:space="preserve">R10 Exterior  8"brick+perlite </t>
  </si>
  <si>
    <t>R10 Exterior  8"brick+vermiculite</t>
  </si>
  <si>
    <t xml:space="preserve">R10 Exterior  8"brick+solid </t>
  </si>
  <si>
    <t xml:space="preserve">R0 Exposed 6"Concrete+solid. </t>
  </si>
  <si>
    <t xml:space="preserve">R5 int. Wood furring 6"Concrete+solid </t>
  </si>
  <si>
    <t xml:space="preserve">R6 int. Wood furring 6"Concrete+solid </t>
  </si>
  <si>
    <t xml:space="preserve">R10.5 int. Wood furring 6"Concrete+solid </t>
  </si>
  <si>
    <t xml:space="preserve">R8 int. Metal Clips 6"Concrete+solid </t>
  </si>
  <si>
    <t xml:space="preserve">R6 Exterior  6"Concrete+solid </t>
  </si>
  <si>
    <t xml:space="preserve">R10 Exterior  6"Concrete+solid </t>
  </si>
  <si>
    <t>Int Concrete Floors, Exposed Concrete,6"wall</t>
  </si>
  <si>
    <t>10-5B</t>
  </si>
  <si>
    <t>R21 cavity+R1 foam Metal 16"OC</t>
  </si>
  <si>
    <t>R21 cavity+R2 foam Metal 16"OC</t>
  </si>
  <si>
    <t>R21 cavity+R3 foam Metal 16"OC</t>
  </si>
  <si>
    <t>R21 cavity+R4 foam Metal 16"OC</t>
  </si>
  <si>
    <t>R21 cavity+R5 foam Metal 16"OC</t>
  </si>
  <si>
    <t>R21 cavity+R6 foam Metal 16"OC</t>
  </si>
  <si>
    <t>R21 cavity+R7 foam Metal 16"OC</t>
  </si>
  <si>
    <t>R21 cavity+R8 foam Metal 16"OC</t>
  </si>
  <si>
    <t>R21 cavity+R9 foam Metal 16"OC</t>
  </si>
  <si>
    <t>R21 cavity+R10 foam Metal 16"OC</t>
  </si>
  <si>
    <t>R25 cavity+R0 foam Metal 16"OC</t>
  </si>
  <si>
    <t>R25 cavity+R1 foam Metal 16"OC</t>
  </si>
  <si>
    <t>R25 cavity+R2 foam Metal 16"OC</t>
  </si>
  <si>
    <t>R25 cavity+R3 foam Metal 16"OC</t>
  </si>
  <si>
    <t>R25 cavity+R4 foam Metal 16"OC</t>
  </si>
  <si>
    <t>R25 cavity+R5 foam Metal 16"OC</t>
  </si>
  <si>
    <t>R25 cavity+R6 foam Metal 16"OC</t>
  </si>
  <si>
    <t>R25 cavity+R7 foam Metal 16"OC</t>
  </si>
  <si>
    <t>R25 cavity+R8 foam Metal 16"OC</t>
  </si>
  <si>
    <t>R25 cavity+R9 foam Metal 16"OC</t>
  </si>
  <si>
    <t>R25 cavity+R10 foam Metal 16"OC</t>
  </si>
  <si>
    <t>R11 cavity+R0 foam Metal 24"OC</t>
  </si>
  <si>
    <t>R11 cavity+R1 foam Metal 24"OC</t>
  </si>
  <si>
    <t>R11 cavity+R2 foam Metal 24"OC</t>
  </si>
  <si>
    <t>Vertical Glazing</t>
  </si>
  <si>
    <t>Slab</t>
  </si>
  <si>
    <t>Plan</t>
  </si>
  <si>
    <t>ID</t>
  </si>
  <si>
    <t>Component</t>
  </si>
  <si>
    <t>Description</t>
  </si>
  <si>
    <t>Wall</t>
  </si>
  <si>
    <t>U</t>
  </si>
  <si>
    <t>Area</t>
  </si>
  <si>
    <t>UA</t>
  </si>
  <si>
    <t>F</t>
  </si>
  <si>
    <t>Height</t>
  </si>
  <si>
    <t>Feet</t>
  </si>
  <si>
    <t>Inch</t>
  </si>
  <si>
    <t>Qt.</t>
  </si>
  <si>
    <t xml:space="preserve"> </t>
  </si>
  <si>
    <t>Glazing</t>
  </si>
  <si>
    <t>Proposed UA Total</t>
  </si>
  <si>
    <t>Conditioned Floor Area</t>
  </si>
  <si>
    <t>Ref.</t>
  </si>
  <si>
    <t>Exterior Doors</t>
  </si>
  <si>
    <t>Door</t>
  </si>
  <si>
    <t>Attic</t>
  </si>
  <si>
    <t>Walls (Above Grade)</t>
  </si>
  <si>
    <t>Floor (over crawl or exterior)</t>
  </si>
  <si>
    <t>Floor</t>
  </si>
  <si>
    <t xml:space="preserve">Wall </t>
  </si>
  <si>
    <t>Width</t>
  </si>
  <si>
    <t>Sum of Area and UA</t>
  </si>
  <si>
    <t>Sum of Area, Length and UA</t>
  </si>
  <si>
    <t>Slab on Grade (less than 2 feet below grade)</t>
  </si>
  <si>
    <t>Vertical Glazing  U =</t>
  </si>
  <si>
    <t>Doors  U =</t>
  </si>
  <si>
    <t xml:space="preserve"> Wall (above grade)  U =</t>
  </si>
  <si>
    <t>Floors  U =</t>
  </si>
  <si>
    <t>Resources on the website include:</t>
  </si>
  <si>
    <t>Gathering the Building Component Data</t>
  </si>
  <si>
    <t>To document energy code compliance, you need to gather certain preliminary information.  You will need to identify all the different exterior components and measure them, based on the set of plans.</t>
  </si>
  <si>
    <t>Identify the Building Components</t>
  </si>
  <si>
    <t>Measure the Building Components</t>
  </si>
  <si>
    <t>Each component must be measured and the size of each noted.  Record all measurements.  List the measurements next to the component description.</t>
  </si>
  <si>
    <t>The following measurement conventions should be followed:</t>
  </si>
  <si>
    <t>You may want to print out a blank copy of the Component Performance CPWorksheet.  Keep notes on the sheet as you take measurements from the plans.</t>
  </si>
  <si>
    <t xml:space="preserve">To add data to the library: </t>
  </si>
  <si>
    <t>You only need to fill in cells that apply to your project.  The CPWorksheets have been developed to accommodate fairly complex structures with numerous building components.  Most projects will only utilize a fraction of the open cells on the CPWorksheet.  For example, most residential structures only use one above grade wall type.  In this case, only complete one row on the in the Walls (Above Grade) schedule; the other three rows would remain blank.</t>
  </si>
  <si>
    <t>A complete schedule for glazing and doors is required.  Plans examiners need to be able to compare the CPWorksheet entries to the plans and to the completed structure.  For each glazing or door model and size, a row on the schedule should be completed.</t>
  </si>
  <si>
    <t>The worksheet includes tips on data entry.  Cells with tips can be identified by a red flag in the upper right corner of the cell.  To view comments one at a time, simply place the cursor over the flag.  A text box will appear with a tip on the specific cell.</t>
  </si>
  <si>
    <t>To view all the cell comments, go to the Excel menu bar, select View, then Comments. This will open all of the text boxes.  To close the comments, repeat the selection,  View, comments.  This provides a good overview for first time users.  If you need additional help viewing comments, use the Excel help menu.</t>
  </si>
  <si>
    <t xml:space="preserve">Help? </t>
  </si>
  <si>
    <t>2. Editing of unprotected cells; and</t>
  </si>
  <si>
    <t>3. Printing results from the Workbooks;</t>
  </si>
  <si>
    <t>All other rights reserved.</t>
  </si>
  <si>
    <r>
      <t>·</t>
    </r>
    <r>
      <rPr>
        <sz val="10"/>
        <rFont val="Arial"/>
        <family val="2"/>
      </rPr>
      <t xml:space="preserve"> Text of the WSEC</t>
    </r>
  </si>
  <si>
    <r>
      <t>·</t>
    </r>
    <r>
      <rPr>
        <sz val="10"/>
        <rFont val="Arial"/>
        <family val="2"/>
      </rPr>
      <t xml:space="preserve"> Use the rough opening area for windows and doors.</t>
    </r>
  </si>
  <si>
    <t>Data Entry</t>
  </si>
  <si>
    <t>Changes and Updates</t>
  </si>
  <si>
    <t>Cheating</t>
  </si>
  <si>
    <t>Copyright Restrictions</t>
  </si>
  <si>
    <r>
      <t>·</t>
    </r>
    <r>
      <rPr>
        <sz val="10"/>
        <rFont val="Arial"/>
        <family val="2"/>
      </rPr>
      <t xml:space="preserve"> Get in the habit of clearing cell contents using the delete key.  Other editing functions may leave traces 
   of entries or functions that are undesirable.</t>
    </r>
  </si>
  <si>
    <t>1. Creation and distribution of free copies of the Spreadsheets and Workbooks, including electronic 
    reproduction;</t>
  </si>
  <si>
    <r>
      <t xml:space="preserve">These worksheets contain password protected cells that should not be edited.  Plans examiners should be aware that this is not a 100% foolproof method of preventing tampering with the worksheets by unethical users; </t>
    </r>
    <r>
      <rPr>
        <b/>
        <sz val="10"/>
        <rFont val="Arial"/>
        <family val="2"/>
      </rPr>
      <t>review submissions carefully</t>
    </r>
    <r>
      <rPr>
        <sz val="10"/>
        <rFont val="Arial"/>
        <family val="2"/>
      </rPr>
      <t xml:space="preserve">. Editing cells in protected areas is a violation of the WSU Energy Program Copyright. </t>
    </r>
  </si>
  <si>
    <t>Copyright: Washington State University Extension Energy Program*</t>
  </si>
  <si>
    <t xml:space="preserve">*WSUEEP grants limited, conditional permission to Designated Users for: </t>
  </si>
  <si>
    <t>The condition for permission is that the source of any materials copied or used from the Spreadsheets or Workbooks shall be acknowledged as: "Copied by permission from Washington State University Extension Energy Program."</t>
  </si>
  <si>
    <t>Slab on Grade  F =</t>
  </si>
  <si>
    <t>Index</t>
  </si>
  <si>
    <t>Component Description</t>
  </si>
  <si>
    <t>Reference</t>
  </si>
  <si>
    <t>Glazing U</t>
  </si>
  <si>
    <t>1gl Wood/Vinyl Clear</t>
  </si>
  <si>
    <t>10-6A</t>
  </si>
  <si>
    <t>2gl Wood/Vinyl Clear &lt;1/2" spacer</t>
  </si>
  <si>
    <t>2gl Wood/Vinyl Clear+Argon &lt;1/2"spacer</t>
  </si>
  <si>
    <t>2gl Wood/Vinyl LowE &lt;1/2"spacer</t>
  </si>
  <si>
    <t>2gl Wood/Vinyl LowE+Argon &lt;1/2"spacer</t>
  </si>
  <si>
    <t>2gl Wood/Vinyl Clear ≥1/2"spacer</t>
  </si>
  <si>
    <t>2gl Wood/Vinyl Clear+Argon ≥1/2"spacer</t>
  </si>
  <si>
    <t>2gl Wood/Vinyl LowE ≥1/2"spacer</t>
  </si>
  <si>
    <t>2gl Wood/Vinyl LowE+Argon ≥1/2"spacer</t>
  </si>
  <si>
    <t>3gl Wood/Vinyl Clear</t>
  </si>
  <si>
    <t>3gl Wood/Vinyl Clear+Argon</t>
  </si>
  <si>
    <t>3gl Wood/Vinyl LowE</t>
  </si>
  <si>
    <t>3gl Wood/Vinyl LowE+Argon</t>
  </si>
  <si>
    <t>1gl Garden Wood/Vinyl Clear</t>
  </si>
  <si>
    <t>2gl Garden Wood/Vinyl Clear</t>
  </si>
  <si>
    <t>2gl Garden Wood/Vinyl Clear+Argon</t>
  </si>
  <si>
    <t>2gl Garden Wood/Vinyl LowE+Argon</t>
  </si>
  <si>
    <t>1gl Alum with TB Clear</t>
  </si>
  <si>
    <t>2gl Alum with TB Clear &lt;1/2" spacer</t>
  </si>
  <si>
    <t>2gl Alum with TB Clear+Argon &lt;1/2"spacer</t>
  </si>
  <si>
    <t>2gl Alum with TB LowE &lt;1/2"spacer</t>
  </si>
  <si>
    <t>2gl Alum with TB LowE+Argon &lt;1/2"spacer</t>
  </si>
  <si>
    <t>2gl Alum with TB Clear ≥1/2"spacer</t>
  </si>
  <si>
    <t>2gl Alum with TB Clear+Argon ≥1/2"spacer</t>
  </si>
  <si>
    <t>2gl Alum with TB LowE ≥1/2"spacer</t>
  </si>
  <si>
    <t>2gl Alum with TB LowE+Argon ≥1/2"spacer</t>
  </si>
  <si>
    <t>3gl Alum with TB Clear</t>
  </si>
  <si>
    <t>3gl Alum with TB Clear+Argon</t>
  </si>
  <si>
    <t>3gl Alum with TB LowE</t>
  </si>
  <si>
    <t>3gl Alum with TB LowE+Argon</t>
  </si>
  <si>
    <t>1gl Aluminum Clear</t>
  </si>
  <si>
    <t>2gl Aluminum Clear &lt;1/2" spacer</t>
  </si>
  <si>
    <t>2gl Aluminum Clear+Argon &lt;1/2"spacer</t>
  </si>
  <si>
    <t>2gl Aluminum LowE &lt;1/2"spacer</t>
  </si>
  <si>
    <t>2gl Aluminum LowE+Argon &lt;1/2"spacer</t>
  </si>
  <si>
    <t>2gl Aluminum Clear ≥1/2"spacer</t>
  </si>
  <si>
    <t>2gl Aluminum Clear+Argon ≥1/2"spacer</t>
  </si>
  <si>
    <t>2gl Aluminum LowE ≥1/2"spacer</t>
  </si>
  <si>
    <t>2gl Aluminum LowE+Argon ≥1/2"spacer</t>
  </si>
  <si>
    <t>3gl Aluminum Clear</t>
  </si>
  <si>
    <t>3gl Aluminum Clear+Argon</t>
  </si>
  <si>
    <t>3gl Aluminum LowE</t>
  </si>
  <si>
    <t>3gl Aluminum LowE+Argon</t>
  </si>
  <si>
    <t>1gl Garden Aluminum Clear</t>
  </si>
  <si>
    <t>2gl Garden Aluminum Clear</t>
  </si>
  <si>
    <t>2gl Garden Aluminum Clear+Argon</t>
  </si>
  <si>
    <t>2gl Garden Aluminum LowE+Argon</t>
  </si>
  <si>
    <t>Glass Block</t>
  </si>
  <si>
    <t>2gl Alum clad wood, Clear ¼"</t>
  </si>
  <si>
    <t>10-6B</t>
  </si>
  <si>
    <t>2gl Alum clad wood, Clear ¼" + argon</t>
  </si>
  <si>
    <t>2gl Alum clad wood, Low-e4 ¼"</t>
  </si>
  <si>
    <t>2gl Alum clad wood, Low-e2 ¼"</t>
  </si>
  <si>
    <t>2gl Alum clad wood, Low-e1 ¼"</t>
  </si>
  <si>
    <t>2gl Alum clad wood, Low-e4 ¼" + argon</t>
  </si>
  <si>
    <t>2gl Alum clad wood, Low-e2 ¼" + argon</t>
  </si>
  <si>
    <t>2gl Alum clad wood, Low-e1 ¼" + argon</t>
  </si>
  <si>
    <t>2gl Alum clad wood, Clear 3/8"</t>
  </si>
  <si>
    <t>2gl Alum clad wood, Clear 3/8" + argon</t>
  </si>
  <si>
    <t>2gl Alum clad wood, Low-e4 3/8"</t>
  </si>
  <si>
    <t>2gl Alum clad wood, Low-e2 3/8"</t>
  </si>
  <si>
    <t>2gl Alum clad wood, Low-e1 3/8"</t>
  </si>
  <si>
    <t>2gl Alum clad wood, Low-e4 3/8" + argon</t>
  </si>
  <si>
    <t>2gl Alum clad wood, Low-e2 3/8" + argon</t>
  </si>
  <si>
    <t>2gl Alum clad wood, Low-e1 3/8" + argon</t>
  </si>
  <si>
    <t>2gl Alum clad wood, Clear ½"</t>
  </si>
  <si>
    <t>2gl Alum clad wood, Clear ½" + argon</t>
  </si>
  <si>
    <t>2gl Alum clad wood, Low-e4 ½"</t>
  </si>
  <si>
    <t>2gl Alum clad wood, Low-e2 ½"</t>
  </si>
  <si>
    <t>2gl Alum clad wood, Low-e1 ½"</t>
  </si>
  <si>
    <t>2gl Alum clad wood, Low-e4 ½" + argon</t>
  </si>
  <si>
    <t>2gl Alum clad wood, Low-e2 ½" + argon</t>
  </si>
  <si>
    <t>2gl Alum clad wood, Low-e1 ½" + argon</t>
  </si>
  <si>
    <t>3gl Alum clad wood, Clear ¼"</t>
  </si>
  <si>
    <t>3gl Alum clad wood, Clear ¼" + argon</t>
  </si>
  <si>
    <t>R11 cavity+R3 foam Metal 24"OC</t>
  </si>
  <si>
    <t>R11 cavity+R4 foam Metal 24"OC</t>
  </si>
  <si>
    <t>R11 cavity+R5 foam Metal 24"OC</t>
  </si>
  <si>
    <t>R11 cavity+R6 foam Metal 24"OC</t>
  </si>
  <si>
    <t>R11 cavity+R7 foam Metal 24"OC</t>
  </si>
  <si>
    <t>R11 cavity+R8 foam Metal 24"OC</t>
  </si>
  <si>
    <t>R11 cavity+R9 foam Metal 24"OC</t>
  </si>
  <si>
    <t>R11 cavity+R10 foam Metal 24"OC</t>
  </si>
  <si>
    <t>R13 cavity+R0 foam Metal 24"OC</t>
  </si>
  <si>
    <t>R13 cavity+R1 foam Metal 24"OC</t>
  </si>
  <si>
    <t>R13 cavity+R2 foam Metal 24"OC</t>
  </si>
  <si>
    <t>R13 cavity+R3 foam Metal 24"OC</t>
  </si>
  <si>
    <t>R13 cavity+R4 foam Metal 24"OC</t>
  </si>
  <si>
    <t>R13 cavity+R5 foam Metal 24"OC</t>
  </si>
  <si>
    <t>R13 cavity+R6 foam Metal 24"OC</t>
  </si>
  <si>
    <t>R13 cavity+R7 foam Metal 24"OC</t>
  </si>
  <si>
    <t>R13 cavity+R8 foam Metal 24"OC</t>
  </si>
  <si>
    <t>R13 cavity+R9 foam Metal 24"OC</t>
  </si>
  <si>
    <t>R13 cavity+R10 foam Metal 24"OC</t>
  </si>
  <si>
    <t>R15 cavity+R0 foam Metal 24"OC</t>
  </si>
  <si>
    <t>R15 cavity+R1 foam Metal 24"OC</t>
  </si>
  <si>
    <t>R15 cavity+R2 foam Metal 24"OC</t>
  </si>
  <si>
    <t>R15 cavity+R3 foam Metal 24"OC</t>
  </si>
  <si>
    <t>R15 cavity+R4 foam Metal 24"OC</t>
  </si>
  <si>
    <t>R15 cavity+R5 foam Metal 24"OC</t>
  </si>
  <si>
    <t>R15 cavity+R6 foam Metal 24"OC</t>
  </si>
  <si>
    <t>R15 cavity+R7 foam Metal 24"OC</t>
  </si>
  <si>
    <t>R15 cavity+R8 foam Metal 24"OC</t>
  </si>
  <si>
    <t>R15 cavity+R9 foam Metal 24"OC</t>
  </si>
  <si>
    <t>R15 cavity+R10 foam Metal 24"OC</t>
  </si>
  <si>
    <t>R19 cavity+R0 foam Metal 24"OC</t>
  </si>
  <si>
    <t>R19 cavity+R1 foam Metal 24"OC</t>
  </si>
  <si>
    <t>R19 cavity+R2 foam Metal 24"OC</t>
  </si>
  <si>
    <t>R19 cavity+R3 foam Metal 24"OC</t>
  </si>
  <si>
    <t>R19 cavity+R4 foam Metal 24"OC</t>
  </si>
  <si>
    <t>R19 cavity+R5 foam Metal 24"OC</t>
  </si>
  <si>
    <t>R19 cavity+R6 foam Metal 24"OC</t>
  </si>
  <si>
    <t>R19 cavity+R7 foam Metal 24"OC</t>
  </si>
  <si>
    <t>R19 cavity+R8 foam Metal 24"OC</t>
  </si>
  <si>
    <t>R19 cavity+R9 foam Metal 24"OC</t>
  </si>
  <si>
    <t>R19 cavity+R10 foam Metal 24"OC</t>
  </si>
  <si>
    <t>R21 cavity+R0 foam Metal 24"OC</t>
  </si>
  <si>
    <t>R21 cavity+R1 foam Metal 24"OC</t>
  </si>
  <si>
    <t>R21 cavity+R2 foam Metal 24"OC</t>
  </si>
  <si>
    <t>R21 cavity+R3 foam Metal 24"OC</t>
  </si>
  <si>
    <t>R21 cavity+R4 foam Metal 24"OC</t>
  </si>
  <si>
    <t>R21 cavity+R5 foam Metal 24"OC</t>
  </si>
  <si>
    <t>R21 cavity+R6 foam Metal 24"OC</t>
  </si>
  <si>
    <t>R21 cavity+R7 foam Metal 24"OC</t>
  </si>
  <si>
    <t>R21 cavity+R8 foam Metal 24"OC</t>
  </si>
  <si>
    <t>R21 cavity+R9 foam Metal 24"OC</t>
  </si>
  <si>
    <t>R21 cavity+R10 foam Metal 24"OC</t>
  </si>
  <si>
    <t>R25 cavity+R0 foam Metal 24"OC</t>
  </si>
  <si>
    <t>R25 cavity+R1 foam Metal 24"OC</t>
  </si>
  <si>
    <t>3gl Alum with TB, Low-e4 ½" + argon</t>
  </si>
  <si>
    <t>3gl Alum with TB, Low-e2 ½" + argon</t>
  </si>
  <si>
    <t>3gl Alum with TB, Low-e1 ½" + argon</t>
  </si>
  <si>
    <t>2gl Aluminum, Clear ¼"</t>
  </si>
  <si>
    <t>2gl Aluminum, Clear ¼" + argon</t>
  </si>
  <si>
    <t>2gl Aluminum, Low-e4 ¼"</t>
  </si>
  <si>
    <t>2gl Aluminum, Low-e2 ¼"</t>
  </si>
  <si>
    <t>2gl Aluminum, Low-e1 ¼"</t>
  </si>
  <si>
    <t>2gl Aluminum, Low-e4 ¼" + argon</t>
  </si>
  <si>
    <t>2gl Aluminum, Low-e2 ¼" + argon</t>
  </si>
  <si>
    <t>2gl Aluminum, Low-e1 ¼" + argon</t>
  </si>
  <si>
    <t>2gl Aluminum, Clear 3/8"</t>
  </si>
  <si>
    <t>2gl Aluminum, Clear 3/8" + argon</t>
  </si>
  <si>
    <t>2gl Aluminum, Low-e4 3/8"</t>
  </si>
  <si>
    <t>2gl Aluminum, Low-e2 3/8"</t>
  </si>
  <si>
    <t>2gl Aluminum, Low-e1 3/8"</t>
  </si>
  <si>
    <t>2gl Aluminum, Low-e4 3/8" + argon</t>
  </si>
  <si>
    <t>2gl Aluminum, Low-e2 3/8" + argon</t>
  </si>
  <si>
    <t>2gl Aluminum, Low-e1 3/8" + argon</t>
  </si>
  <si>
    <t>2gl Aluminum, Clear ½"</t>
  </si>
  <si>
    <t>2gl Aluminum, Clear ½" + argon</t>
  </si>
  <si>
    <t>2gl Aluminum, Low-e4 ½"</t>
  </si>
  <si>
    <t>2gl Aluminum, Low-e2 ½"</t>
  </si>
  <si>
    <t>2gl Aluminum, Low-e1 ½"</t>
  </si>
  <si>
    <t>2gl Aluminum, Low-e4 ½" + argon</t>
  </si>
  <si>
    <t>2gl Aluminum, Low-e2 ½" + argon</t>
  </si>
  <si>
    <t>2gl Aluminum, Low-e1 ½" + argon</t>
  </si>
  <si>
    <t>3gl Aluminum, Clear ¼"</t>
  </si>
  <si>
    <t>3gl Aluminum, Clear ¼" + argon</t>
  </si>
  <si>
    <t>3gl Aluminum, Low-e4 ¼"</t>
  </si>
  <si>
    <t>3gl Aluminum, Low-e2 ¼"</t>
  </si>
  <si>
    <t>3gl Aluminum, Low-e1 ¼"</t>
  </si>
  <si>
    <t>3gl Aluminum, Low-e4 ¼" + argon</t>
  </si>
  <si>
    <t>3gl Aluminum, Low-e2 ¼" + argon</t>
  </si>
  <si>
    <t>3gl Aluminum, Low-e1 ¼" + argon</t>
  </si>
  <si>
    <t>3gl Aluminum, Clear ½"</t>
  </si>
  <si>
    <t>3gl Aluminum, Clear ½" + argon</t>
  </si>
  <si>
    <t>3gl Aluminum, Low-e4 ½"</t>
  </si>
  <si>
    <t>3gl Aluminum, Low-e2 ½"</t>
  </si>
  <si>
    <t>3gl Aluminum, Low-e1 ½"</t>
  </si>
  <si>
    <t>3gl Aluminum, Low-e4 ½" + argon</t>
  </si>
  <si>
    <t>3gl Aluminum, Low-e2 ½" + argon</t>
  </si>
  <si>
    <t>3gl Aluminum, Low-e1 ½" + argon</t>
  </si>
  <si>
    <t>WSU</t>
  </si>
  <si>
    <t>1gl wood glass</t>
  </si>
  <si>
    <t>10-6E</t>
  </si>
  <si>
    <t>1gl wood acrylic/polycarb</t>
  </si>
  <si>
    <t>2gl wood clear air</t>
  </si>
  <si>
    <t>2gl wood clear argon</t>
  </si>
  <si>
    <t>2gl wood, e=0.20 air</t>
  </si>
  <si>
    <t>2gl wood, e=0.20 argon</t>
  </si>
  <si>
    <t>2gl wood, e=0.10 air</t>
  </si>
  <si>
    <t>2gl wood, e=0.10 argon</t>
  </si>
  <si>
    <t>2gl wood, e=0.05 air</t>
  </si>
  <si>
    <t>2gl wood, e=0.05 argon</t>
  </si>
  <si>
    <t>3gl wood clear air</t>
  </si>
  <si>
    <t>3gl wood clear argon</t>
  </si>
  <si>
    <t>3gl wood, e=0.20 air</t>
  </si>
  <si>
    <t>3gl wood, e=0.20 argon</t>
  </si>
  <si>
    <t>3gl wood, e=0.20 on 2 surfaces air</t>
  </si>
  <si>
    <t>3gl wood, e=0.20 on 2 surfaces argon</t>
  </si>
  <si>
    <t>3gl wood, e=0.10 on 2 surfaces air</t>
  </si>
  <si>
    <t>3gl wood, e=0.10 on 2 surfaces argon</t>
  </si>
  <si>
    <t>4gl wood, e=0.10 on 2 surfaces air</t>
  </si>
  <si>
    <t>4gl wood, e=0.10 on 2 surfaces argon</t>
  </si>
  <si>
    <t>4gl wood, e=0.10 on 2 surfaces krypton</t>
  </si>
  <si>
    <t>1gl Alum clad wood glass</t>
  </si>
  <si>
    <t>1gl Alum clad wood acrylic/polycarb</t>
  </si>
  <si>
    <t>2gl Alum clad wood clear air</t>
  </si>
  <si>
    <t>2gl Alum clad wood clear argon</t>
  </si>
  <si>
    <t>2gl Alum clad wood, e=0.20 air</t>
  </si>
  <si>
    <t>2gl Alum clad wood, e=0.20 argon</t>
  </si>
  <si>
    <t>2gl Alum clad wood, e=0.10 air</t>
  </si>
  <si>
    <t>2gl Alum clad wood, e=0.10 argon</t>
  </si>
  <si>
    <t>2gl Alum clad wood, e=0.05 air</t>
  </si>
  <si>
    <t>2gl Alum clad wood, e=0.05 argon</t>
  </si>
  <si>
    <t>3gl Alum clad wood clear air</t>
  </si>
  <si>
    <t>3gl Alum clad wood clear argon</t>
  </si>
  <si>
    <t>3gl Alum clad wood, e=0.20 air</t>
  </si>
  <si>
    <t>3gl Alum clad wood, e=0.20 argon</t>
  </si>
  <si>
    <t>3gl Alum clad wood, e=0.20 on 2 surf air</t>
  </si>
  <si>
    <t>3gl Alum clad wood, e=0.20 on 2 surf argon</t>
  </si>
  <si>
    <t>3gl Alum clad wood, e=0.10 on 2 surf air</t>
  </si>
  <si>
    <t>3gl Alum clad wood, e=0.10 on 2 surf argon</t>
  </si>
  <si>
    <t>4gl Alum clad wood, e=0.10 on 2 surf air</t>
  </si>
  <si>
    <t>4gl Alum clad wood, e=0.10 on 2 surf argon</t>
  </si>
  <si>
    <t>4gl Alum clad wood, e=0.10 on 2 surf krypton</t>
  </si>
  <si>
    <t>1gl Alum with TB glass</t>
  </si>
  <si>
    <t>1gl Alum with TB acrylic/polycarb</t>
  </si>
  <si>
    <t>2gl Alum with TB clear air</t>
  </si>
  <si>
    <t>2gl Alum with TB clear argon</t>
  </si>
  <si>
    <t>2gl Alum with TB, e=0.20 air</t>
  </si>
  <si>
    <t>2gl Alum with TB, e=0.20 argon</t>
  </si>
  <si>
    <t>2gl Alum with TB, e=0.10 air</t>
  </si>
  <si>
    <t>2gl Alum with TB, e=0.10 argon</t>
  </si>
  <si>
    <t>2gl Alum with TB, e=0.05 air</t>
  </si>
  <si>
    <t>2gl Alum with TB, e=0.05 argon</t>
  </si>
  <si>
    <t>3gl Alum with TB clear air</t>
  </si>
  <si>
    <t>3gl Alum with TB clear argon</t>
  </si>
  <si>
    <t>3gl Alum with TB, e=0.20 air</t>
  </si>
  <si>
    <t>3gl Alum with TB, e=0.20 argon</t>
  </si>
  <si>
    <t>3gl Alum with TB, e=0.20 on 2 surf air</t>
  </si>
  <si>
    <t>3gl Alum with TB, e=0.20 on 2 surf argon</t>
  </si>
  <si>
    <t>3gl Alum with TB, e=0.10 on 2 surfaces air</t>
  </si>
  <si>
    <t>3gl Alum with TB, e=0.10 on 2 surf argon</t>
  </si>
  <si>
    <t>4gl Alum with TB, e=0.10 on 2 surfaces air</t>
  </si>
  <si>
    <t>4gl Alum with TB, e=0.10 on 2 surf argon</t>
  </si>
  <si>
    <t>4gl Alum with TB, e=0.10 on 2 surf krypton</t>
  </si>
  <si>
    <t>1gl Aluminum glass</t>
  </si>
  <si>
    <t>1gl Aluminum acrylic/polycarb</t>
  </si>
  <si>
    <t>2gl Aluminum clear air</t>
  </si>
  <si>
    <t>2gl Aluminum clear argon</t>
  </si>
  <si>
    <t>2gl Aluminum, e=0.20 air</t>
  </si>
  <si>
    <t>2gl Aluminum, e=0.20 argon</t>
  </si>
  <si>
    <t>2gl Aluminum, e=0.10 air</t>
  </si>
  <si>
    <t>2gl Aluminum, e=0.10 argon</t>
  </si>
  <si>
    <t>2gl Aluminum, e=0.05 air</t>
  </si>
  <si>
    <t>2gl Aluminum, e=0.05 argon</t>
  </si>
  <si>
    <t>3gl Aluminum clear air</t>
  </si>
  <si>
    <t>3gl Aluminum clear argon</t>
  </si>
  <si>
    <t>3gl Aluminum, e=0.20 air</t>
  </si>
  <si>
    <t>3gl Aluminum, e=0.20 argon</t>
  </si>
  <si>
    <t>3gl Aluminum, e=0.20 on 2 surf air</t>
  </si>
  <si>
    <t>3gl Aluminum, e=0.20 on 2 surf argon</t>
  </si>
  <si>
    <t>3gl Aluminum, e=0.10 on 2 surf air</t>
  </si>
  <si>
    <t>3gl Aluminum, e=0.10 on 2 surf argon</t>
  </si>
  <si>
    <t>4gl Aluminum, e=0.10 on 2 surf air</t>
  </si>
  <si>
    <t>4gl Aluminum, e=0.10 on 2 surf argon</t>
  </si>
  <si>
    <t>4gl Aluminum, e=0.10 on 2 surf krypton</t>
  </si>
  <si>
    <t>Wood slab in wood frame (WoodSWF)</t>
  </si>
  <si>
    <t>10-6C</t>
  </si>
  <si>
    <t xml:space="preserve">WoodSWF 1gl &gt;50% </t>
  </si>
  <si>
    <t xml:space="preserve">WoodSWF 2gl &gt;50% 1/4" </t>
  </si>
  <si>
    <t xml:space="preserve">WoodSWF 2gl &gt;50% 1/2" </t>
  </si>
  <si>
    <t xml:space="preserve">WoodSWF 2gl &gt;50% 1/2" LowE .1 Ar </t>
  </si>
  <si>
    <t>Insulated Steel, Wood Edge (ISteelWE)</t>
  </si>
  <si>
    <t xml:space="preserve">ISteelWE 1gl &gt;50% </t>
  </si>
  <si>
    <t xml:space="preserve">ISteelWE 2gl &gt;50% 1/4" </t>
  </si>
  <si>
    <t xml:space="preserve">ISteelWE 2gl &gt;50% 1/2" </t>
  </si>
  <si>
    <t>ISteelWE 2gl &gt;50% 1/2" LowE .1 Ar</t>
  </si>
  <si>
    <t>Insulated Steel, Steel Edge Steel Frame (ISteel,SEdge,SFrame)</t>
  </si>
  <si>
    <t>ISteel,SEdge,SFrame 1gl &gt; 50%</t>
  </si>
  <si>
    <t>ISteel,SEdge,SFrame 2gl &gt; 50% 1/4"</t>
  </si>
  <si>
    <t>ISteel,SEdge,SFrame 2gl &gt; 50% 1/2"</t>
  </si>
  <si>
    <t>ISteel,SEdge,SFrame 2gl &gt; 50% 1/2" LowE .1 Ar</t>
  </si>
  <si>
    <t>Custom</t>
  </si>
  <si>
    <t>Attic U</t>
  </si>
  <si>
    <t>R0 Attic</t>
  </si>
  <si>
    <t>R0 Scissors</t>
  </si>
  <si>
    <t>R19 blown Attic STD baffled</t>
  </si>
  <si>
    <t>10-7</t>
  </si>
  <si>
    <t>R19 blown Attic ADV baffled</t>
  </si>
  <si>
    <t>R30 blown Attic STD baffled</t>
  </si>
  <si>
    <t>R30 blown Attic ADV baffled</t>
  </si>
  <si>
    <t>R38 blown Attic STD baffled</t>
  </si>
  <si>
    <t>R38 blown Attic ADV baffled</t>
  </si>
  <si>
    <t>R49 blown Attic STD baffled</t>
  </si>
  <si>
    <t>R49 blown Attic ADV baffled</t>
  </si>
  <si>
    <t>R60 blown Attic STD baffled</t>
  </si>
  <si>
    <t>R60 blown Attic ADV baffled</t>
  </si>
  <si>
    <t>R30 blown Scissor 4:12 STD baffled</t>
  </si>
  <si>
    <t>R30 blown Scissor 4:12 ADV baffled</t>
  </si>
  <si>
    <t>R38 blown Scissor 4:12 STD baffled</t>
  </si>
  <si>
    <t>R38 blown Scissor 4:12 ADV baffled</t>
  </si>
  <si>
    <t>R49 blown Scissor 4:12 STD baffled</t>
  </si>
  <si>
    <t>R49 blown Scissor 4:12 ADV baffled</t>
  </si>
  <si>
    <t>R30 blown Scissor 5:12 STD baffled</t>
  </si>
  <si>
    <t>R30 blown Scissor 5:12 ADV baffled</t>
  </si>
  <si>
    <t>R38 blown Scissor 5:12 STD baffled</t>
  </si>
  <si>
    <t>R38 blown Scissor 5:12 ADV baffled</t>
  </si>
  <si>
    <t>R49 blown Scissor 5:12 STD baffled</t>
  </si>
  <si>
    <t>R49 blown Scissor 5:12 ADV baffled</t>
  </si>
  <si>
    <t>St Truss R19 cavity 12' Span</t>
  </si>
  <si>
    <t>10-7A</t>
  </si>
  <si>
    <t>St Truss R19 cavity 14' Span</t>
  </si>
  <si>
    <t>St Truss R19 cavity 16' Span</t>
  </si>
  <si>
    <t>St Truss R19 cavity 18' Span</t>
  </si>
  <si>
    <t>St Truss R19 cavity 20' Span</t>
  </si>
  <si>
    <t>St Truss R19 cavity 22' Span</t>
  </si>
  <si>
    <t>St Truss R19 cavity 24' Span</t>
  </si>
  <si>
    <t>St Truss R19 cavity 26' Span</t>
  </si>
  <si>
    <t>St Truss R19 cavity 28' Span</t>
  </si>
  <si>
    <t>St Truss R19 cavity 30' Span</t>
  </si>
  <si>
    <t>St Truss R19 cavity 32' Span</t>
  </si>
  <si>
    <t>St Truss R19 cavity 34' Span</t>
  </si>
  <si>
    <t>St Truss R19 cavity 36' Span</t>
  </si>
  <si>
    <t>St Truss R30 cavity 12' Span</t>
  </si>
  <si>
    <t>St Truss R30 cavity 14' Span</t>
  </si>
  <si>
    <t>St Truss R30 cavity 16' Span</t>
  </si>
  <si>
    <t>St Truss R30 cavity 18' Span</t>
  </si>
  <si>
    <t>St Truss R30 cavity 20' Span</t>
  </si>
  <si>
    <t>St Truss R30 cavity 22' Span</t>
  </si>
  <si>
    <t>St Truss R30 cavity 24' Span</t>
  </si>
  <si>
    <t>St Truss R30 cavity 26' Span</t>
  </si>
  <si>
    <t>St Truss R30 cavity 28' Span</t>
  </si>
  <si>
    <t>St Truss R30 cavity 30' Span</t>
  </si>
  <si>
    <t>St Truss R30 cavity 32' Span</t>
  </si>
  <si>
    <t>St Truss R30 cavity 34' Span</t>
  </si>
  <si>
    <t>St Truss R30 cavity 36' Span</t>
  </si>
  <si>
    <t>St Truss R38 cavity 12' Span</t>
  </si>
  <si>
    <t>St Truss R38 cavity 14' Span</t>
  </si>
  <si>
    <t>St Truss R38 cavity 16' Span</t>
  </si>
  <si>
    <t>St Truss R38 cavity 18' Span</t>
  </si>
  <si>
    <t>St Truss R38 cavity 20' Span</t>
  </si>
  <si>
    <t>St Truss R38 cavity 22' Span</t>
  </si>
  <si>
    <t>St Truss R38 cavity 24' Span</t>
  </si>
  <si>
    <t>St Truss R38 cavity 26' Span</t>
  </si>
  <si>
    <t>St Truss R38 cavity 28' Span</t>
  </si>
  <si>
    <t>St Truss R38 cavity 30' Span</t>
  </si>
  <si>
    <t>St Truss R38 cavity 32' Span</t>
  </si>
  <si>
    <t>St Truss R38 cavity 34' Span</t>
  </si>
  <si>
    <t>St Truss R38 cavity 36' Span</t>
  </si>
  <si>
    <t>St Truss R49 cavity 12' Span</t>
  </si>
  <si>
    <t>St Truss R49 cavity 14' Span</t>
  </si>
  <si>
    <t>St Truss R49 cavity 16' Span</t>
  </si>
  <si>
    <t>St Truss R49 cavity 18' Span</t>
  </si>
  <si>
    <t>St Truss R49 cavity 20' Span</t>
  </si>
  <si>
    <t>St Truss R49 cavity 22' Span</t>
  </si>
  <si>
    <t>St Truss R49 cavity 24' Span</t>
  </si>
  <si>
    <t>St Truss R49 cavity 26' Span</t>
  </si>
  <si>
    <t>St Truss R49 cavity 28' Span</t>
  </si>
  <si>
    <t>St Truss R49 cavity 30' Span</t>
  </si>
  <si>
    <t>St Truss R49 cavity 32' Span</t>
  </si>
  <si>
    <t>St Truss R49 cavity 34' Span</t>
  </si>
  <si>
    <t>St Truss R49 cavity 36' Span</t>
  </si>
  <si>
    <t>St Truss R19 cavity R3 Sheath 12' Span</t>
  </si>
  <si>
    <t>St Truss R19 cavity R3 Sheath 14' Span</t>
  </si>
  <si>
    <t>St Truss R19 cavity R3 Sheath 16' Span</t>
  </si>
  <si>
    <t>St Truss R19 cavity R3 Sheath 18' Span</t>
  </si>
  <si>
    <t>St Truss R19 cavity R3 Sheath 20' Span</t>
  </si>
  <si>
    <t>St Truss R19 cavity R3 Sheath 22' Span</t>
  </si>
  <si>
    <t>St Truss R19 cavity R3 Sheath 24' Span</t>
  </si>
  <si>
    <t>St Truss R19 cavity R3 Sheath 26' Span</t>
  </si>
  <si>
    <t>St Truss R19 cavity R3 Sheath 28' Span</t>
  </si>
  <si>
    <t>St Truss R19 cavity R3 Sheath 30' Span</t>
  </si>
  <si>
    <t>St Truss R19 cavity R3 Sheath 32' Span</t>
  </si>
  <si>
    <t>St Truss R19 cavity R3 Sheath 34' Span</t>
  </si>
  <si>
    <t>St Truss R19 cavity R3 Sheath 36' Span</t>
  </si>
  <si>
    <t>St Truss R30 cavity R3 Sheath 12' Span</t>
  </si>
  <si>
    <t>St Truss R30 cavity R3 Sheath 14' Span</t>
  </si>
  <si>
    <t>St Truss R30 cavity R3 Sheath 16' Span</t>
  </si>
  <si>
    <t>St Truss R30 cavity R3 Sheath 18' Span</t>
  </si>
  <si>
    <t>St Truss R30 cavity R3 Sheath 20' Span</t>
  </si>
  <si>
    <t>St Truss R30 cavity R3 Sheath 22' Span</t>
  </si>
  <si>
    <t>St Truss R30 cavity R3 Sheath 24' Span</t>
  </si>
  <si>
    <t>St Truss R30 cavity R3 Sheath 26' Span</t>
  </si>
  <si>
    <t>St Truss R30 cavity R3 Sheath 28' Span</t>
  </si>
  <si>
    <t>St Truss R30 cavity R3 Sheath 30' Span</t>
  </si>
  <si>
    <t>St Truss R30 cavity R3 Sheath 32' Span</t>
  </si>
  <si>
    <t>St Truss R30 cavity R3 Sheath 34' Span</t>
  </si>
  <si>
    <t>St Truss R30 cavity R3 Sheath 36' Span</t>
  </si>
  <si>
    <t>St Truss R38 cavity R3 Sheath 12' Span</t>
  </si>
  <si>
    <t>St Truss R38 cavity R3 Sheath 14' Span</t>
  </si>
  <si>
    <t>St Truss R38 cavity R3 Sheath 16' Span</t>
  </si>
  <si>
    <t>St Truss R38 cavity R3 Sheath 18' Span</t>
  </si>
  <si>
    <t>St Truss R38 cavity R3 Sheath 20' Span</t>
  </si>
  <si>
    <t>St Truss R38 cavity R3 Sheath 22' Span</t>
  </si>
  <si>
    <t>St Truss R38 cavity R3 Sheath 24' Span</t>
  </si>
  <si>
    <t>St Truss R38 cavity R3 Sheath 26' Span</t>
  </si>
  <si>
    <t>St Truss R38 cavity R3 Sheath 28' Span</t>
  </si>
  <si>
    <t>St Truss R38 cavity R3 Sheath 30' Span</t>
  </si>
  <si>
    <t>St Truss R38 cavity R3 Sheath 32' Span</t>
  </si>
  <si>
    <t>St Truss R38 cavity R3 Sheath 34' Span</t>
  </si>
  <si>
    <t>St Truss R38 cavity R3 Sheath 36' Span</t>
  </si>
  <si>
    <t>St Truss R49 cavity R3 Sheath 12' Span</t>
  </si>
  <si>
    <t>St Truss R49 cavity R3 Sheath 14' Span</t>
  </si>
  <si>
    <t>St Truss R49 cavity R3 Sheath 16' Span</t>
  </si>
  <si>
    <t>St Truss R49 cavity R3 Sheath 18' Span</t>
  </si>
  <si>
    <t>St Truss R49 cavity R3 Sheath 20' Span</t>
  </si>
  <si>
    <t>St Truss R49 cavity R3 Sheath 22' Span</t>
  </si>
  <si>
    <t>St Truss R49 cavity R3 Sheath 24' Span</t>
  </si>
  <si>
    <t>St Truss R49 cavity R3 Sheath 26' Span</t>
  </si>
  <si>
    <t>St Truss R49 cavity R3 Sheath 28' Span</t>
  </si>
  <si>
    <t>St Truss R49 cavity R3 Sheath 30' Span</t>
  </si>
  <si>
    <t>St Truss R49 cavity R3 Sheath 32' Span</t>
  </si>
  <si>
    <t>St Truss R49 cavity R3 Sheath 34' Span</t>
  </si>
  <si>
    <t>St Truss R49 cavity R3 Sheath 36' Span</t>
  </si>
  <si>
    <t>St Truss R19 cavity R5 Sheath 12' Span</t>
  </si>
  <si>
    <t>St Truss R19 cavity R5 Sheath 14' Span</t>
  </si>
  <si>
    <t>R15 cavity+R2 foam STD 2X4W Lap</t>
  </si>
  <si>
    <t>R15 cavity+R2 foam ADV 2X4W Lap</t>
  </si>
  <si>
    <t>R15 cavity+R2 foam STD 2X4W T111</t>
  </si>
  <si>
    <t>R15 cavity+R2 foam ADV 2X4W T111</t>
  </si>
  <si>
    <t>R15 cavity+R3 foam STD 2X4W Lap</t>
  </si>
  <si>
    <t>R15 cavity+R3 foam ADV 2X4W Lap</t>
  </si>
  <si>
    <t>R15 cavity+R3 foam STD 2X4W T111</t>
  </si>
  <si>
    <t>R15 cavity+R3 foam ADV 2X4W T111</t>
  </si>
  <si>
    <t>R15 cavity+R4 foam STD 2X4W Lap</t>
  </si>
  <si>
    <t>R15 cavity+R4 foam ADV 2X4W Lap</t>
  </si>
  <si>
    <t>R15 cavity+R4 foam STD 2X4W T111</t>
  </si>
  <si>
    <t>R15 cavity+R4 foam ADV 2X4W T111</t>
  </si>
  <si>
    <t>R15 cavity+R5 foam STD 2X4W Lap</t>
  </si>
  <si>
    <t>R15 cavity+R5 foam ADV 2X4W Lap</t>
  </si>
  <si>
    <t>R15 cavity+R5 foam STD 2X4W T111</t>
  </si>
  <si>
    <t>R15 cavity+R5 foam ADV 2X4W T111</t>
  </si>
  <si>
    <t>R15 cavity+R6 foam STD 2X4W Lap</t>
  </si>
  <si>
    <t>R15 cavity+R6 foam ADV 2X4W Lap</t>
  </si>
  <si>
    <t>R15 cavity+R6 foam STD 2X4W T111</t>
  </si>
  <si>
    <t>R15 cavity+R6 foam ADV 2X4W T111</t>
  </si>
  <si>
    <t>R15 cavity+R7 foam STD 2X4W Lap</t>
  </si>
  <si>
    <t>R15 cavity+R7 foam ADV 2X4W Lap</t>
  </si>
  <si>
    <t>R15 cavity+R7 foam STD 2X4W T111</t>
  </si>
  <si>
    <t>R15 cavity+R7 foam ADV 2X4W T111</t>
  </si>
  <si>
    <t>R15 cavity+R8 foam STD 2X4W Lap</t>
  </si>
  <si>
    <t>R15 cavity+R8 foam ADV 2X4W Lap</t>
  </si>
  <si>
    <t>R15 cavity+R8 foam STD 2X4W T111</t>
  </si>
  <si>
    <t>R15 cavity+R8 foam ADV 2X4W T111</t>
  </si>
  <si>
    <t>R15 cavity+R9 foam STD 2X4W Lap</t>
  </si>
  <si>
    <t>R15 cavity+R9 foam ADV 2X4W Lap</t>
  </si>
  <si>
    <t>R15 cavity+R9 foam STD 2X4W T111</t>
  </si>
  <si>
    <t>R15 cavity+R9 foam ADV 2X4W T111</t>
  </si>
  <si>
    <t>R15 cavity+R10 foam STD 2X4W Lap</t>
  </si>
  <si>
    <t>R15 cavity+R10 foam ADV 2X4W Lap</t>
  </si>
  <si>
    <t>R15 cavity+R10 foam STD 2X4W T111</t>
  </si>
  <si>
    <t>R15 cavity+R10 foam ADV 2X4W T111</t>
  </si>
  <si>
    <t>R15 cavity+R11 foam STD 2X4W Lap</t>
  </si>
  <si>
    <t>R15 cavity+R11 foam ADV 2X4W Lap</t>
  </si>
  <si>
    <t>R15 cavity+R11 foam STD 2X4W T111</t>
  </si>
  <si>
    <t>R15 cavity+R11 foam ADV 2X4W T111</t>
  </si>
  <si>
    <t>R15 cavity+R12 foam STD 2X4W Lap</t>
  </si>
  <si>
    <t>R15 cavity+R12 foam ADV 2X4W Lap</t>
  </si>
  <si>
    <t>R15 cavity+R12 foam STD 2X4W T111</t>
  </si>
  <si>
    <t>R15 cavity+R12 foam ADV 2X4W T111</t>
  </si>
  <si>
    <t>R19 cavity+R0 foam STD 2X6W Lap</t>
  </si>
  <si>
    <t>R19 cavity+R0 foam INT 2X6W Lap</t>
  </si>
  <si>
    <t>R19 cavity+R0 foam ADV 2X6W Lap</t>
  </si>
  <si>
    <t>R19 cavity+R0 foam STD 2X6W T111</t>
  </si>
  <si>
    <t>R19 cavity+R0 foam INT 2X6W T111</t>
  </si>
  <si>
    <t>R19 cavity+R0 foam ADV 2X6W T111</t>
  </si>
  <si>
    <t>R19 cavity+R1 foam STD 2X6W Lap</t>
  </si>
  <si>
    <t>R19 cavity+R1 foam INT 2X6W Lap</t>
  </si>
  <si>
    <t>R19 cavity+R1 foam ADV 2X6W Lap</t>
  </si>
  <si>
    <t>R19 cavity+R1 foam STD 2X6W T111</t>
  </si>
  <si>
    <t>R19 cavity+R1 foam INT 2X6W T111</t>
  </si>
  <si>
    <t>R19 cavity+R1 foam ADV 2X6W T111</t>
  </si>
  <si>
    <t>R19 cavity+R2 foam STD 2X6W Lap</t>
  </si>
  <si>
    <t>R19 cavity+R2 foam INT 2X6W Lap</t>
  </si>
  <si>
    <t>R19 cavity+R2 foam ADV 2X6W Lap</t>
  </si>
  <si>
    <t>R19 cavity+R2 foam STD 2X6W T111</t>
  </si>
  <si>
    <t>R19 cavity+R2 foam INT 2X6W T111</t>
  </si>
  <si>
    <t>R19 cavity+R2 foam ADV 2X6W T111</t>
  </si>
  <si>
    <t>R19 cavity+R3 foam STD 2X6W Lap</t>
  </si>
  <si>
    <t>R19 cavity+R3 foam INT 2X6W Lap</t>
  </si>
  <si>
    <t>R19 cavity+R3 foam ADV 2X6W Lap</t>
  </si>
  <si>
    <t>For most building components, it is important to utilize the component listings from the code.  The exception is glazing and door products.  Most glazing products perform much better than the default code values.  If you can obtain NFRC certified u-factors for windows and doors, it is to your advantage to use them.</t>
  </si>
  <si>
    <t>To add new components to the library worksheets</t>
  </si>
  <si>
    <r>
      <t>·</t>
    </r>
    <r>
      <rPr>
        <sz val="10"/>
        <rFont val="Arial"/>
        <family val="2"/>
      </rPr>
      <t xml:space="preserve"> Don’t forget to save your worksheet after you make changes.</t>
    </r>
  </si>
  <si>
    <r>
      <t>·</t>
    </r>
    <r>
      <rPr>
        <sz val="10"/>
        <rFont val="Arial"/>
        <family val="2"/>
      </rPr>
      <t xml:space="preserve"> Tab to the  library worksheet you would like to edit.  A blue box at the right of the screen has 
   instructions for editing the specific worksheet.  Each has somewhat different instructions.  </t>
    </r>
  </si>
  <si>
    <t>You can enter custom component descriptions to the library worksheets.  If you have tested u-factors for windows, skylights and doors, you will want to enter them into the library, since tested u-factors tend to be more favorable to design qualification than the default values.</t>
  </si>
  <si>
    <t>Immediately save the workbook under a new file name using the Save As function.  Give it a name specific to the project you are currently working on.</t>
  </si>
  <si>
    <t>The worksheets provide detailed documentation for the plans examiner and inspector.  Do not skimp on details.  Provide reference to the plans on the CPWorksheet using the “Plan ID” cell.  Provide itemized glazing and door schedules, as well as area inputs on other building components.</t>
  </si>
  <si>
    <t>The top of the worksheet asks for general data on the building and includes a summary of the data entry performed in the rest of the worksheet.</t>
  </si>
  <si>
    <t>As you page down, you will find blank schedules for each component of the building.  This is where most of the data entry work is completed.  For each component, complete as many rows as needed to document your project.</t>
  </si>
  <si>
    <t>The copyright page includes a version number of the workbook.  If a change is required, a new version of the worksheets will be posted on our web page.  Check the web site periodically to assure you are using the most recent version.</t>
  </si>
  <si>
    <t>St Truss R19 cavity R5 Sheath 16' Span</t>
  </si>
  <si>
    <t>St Truss R19 cavity R5 Sheath 18' Span</t>
  </si>
  <si>
    <t>St Truss R19 cavity R5 Sheath 20' Span</t>
  </si>
  <si>
    <t>St Truss R19 cavity R5 Sheath 22' Span</t>
  </si>
  <si>
    <t>St Truss R19 cavity R5 Sheath 24' Span</t>
  </si>
  <si>
    <t>St Truss R19 cavity R5 Sheath 26' Span</t>
  </si>
  <si>
    <t>St Truss R19 cavity R5 Sheath 28' Span</t>
  </si>
  <si>
    <t>St Truss R19 cavity R5 Sheath 30' Span</t>
  </si>
  <si>
    <t>St Truss R19 cavity R5 Sheath 32' Span</t>
  </si>
  <si>
    <t>St Truss R19 cavity R5 Sheath 34' Span</t>
  </si>
  <si>
    <t>St Truss R19 cavity R5 Sheath 36' Span</t>
  </si>
  <si>
    <t>St Truss R30 cavity R5 Sheath 12' Span</t>
  </si>
  <si>
    <t>St Truss R30 cavity R5 Sheath 14' Span</t>
  </si>
  <si>
    <t>St Truss R30 cavity R5 Sheath 16' Span</t>
  </si>
  <si>
    <t>St Truss R30 cavity R5 Sheath 18' Span</t>
  </si>
  <si>
    <t>St Truss R30 cavity R5 Sheath 20' Span</t>
  </si>
  <si>
    <t>St Truss R30 cavity R5 Sheath 22' Span</t>
  </si>
  <si>
    <t>St Truss R30 cavity R5 Sheath 24' Span</t>
  </si>
  <si>
    <t>St Truss R30 cavity R5 Sheath 26' Span</t>
  </si>
  <si>
    <t>St Truss R30 cavity R5 Sheath 28' Span</t>
  </si>
  <si>
    <t>St Truss R30 cavity R5 Sheath 30' Span</t>
  </si>
  <si>
    <t>St Truss R30 cavity R5 Sheath 32' Span</t>
  </si>
  <si>
    <t>St Truss R30 cavity R5 Sheath 34' Span</t>
  </si>
  <si>
    <t>St Truss R30 cavity R5 Sheath 36' Span</t>
  </si>
  <si>
    <t>This Excel workbook contains 15 worksheets:</t>
  </si>
  <si>
    <t xml:space="preserve"> Net Area</t>
  </si>
  <si>
    <t>The Component Performance Worksheet</t>
  </si>
  <si>
    <t xml:space="preserve">Component Performance Worksheet (CPWorksheet) </t>
  </si>
  <si>
    <t>Working with the CPWorksheet</t>
  </si>
  <si>
    <t>Open the Worksheet</t>
  </si>
  <si>
    <t xml:space="preserve"> Below Grade Wall  U =</t>
  </si>
  <si>
    <t xml:space="preserve"> Below Grade Slab  F =</t>
  </si>
  <si>
    <t>Below Grade Walls and Slabs</t>
  </si>
  <si>
    <t>EFFICIENT BUILDING ENVELOPE 1a:</t>
  </si>
  <si>
    <t xml:space="preserve">Prescriptive compliance is based on Table R402.1.1 with the following modifications:  </t>
  </si>
  <si>
    <t>Floor R-38</t>
  </si>
  <si>
    <t>Slab on grade R-10 perimeter and under entire slab</t>
  </si>
  <si>
    <t>Below grade slab R-10 perimeter and under entire slab</t>
  </si>
  <si>
    <t>Compliance based on Section R402.1.4:  Reduce the Total UA by 5%.</t>
  </si>
  <si>
    <t>EFFICIENT BUILDING ENVELOPE 1b:</t>
  </si>
  <si>
    <t xml:space="preserve">Wall R-21 plus R-4 </t>
  </si>
  <si>
    <t xml:space="preserve">Floor R-38 </t>
  </si>
  <si>
    <t>Basement wall R-21 int plus R-5 ci</t>
  </si>
  <si>
    <t>Compliance based on Section R402.1.4:  Reduce the Total UA by 15%.</t>
  </si>
  <si>
    <t>EFFICIENT BUILDING ENVELOPE 1c:</t>
  </si>
  <si>
    <t>Ceiling and single-rafter or joist-vaulted R-49 advanced</t>
  </si>
  <si>
    <t>Wood frame wall R-21 int plus R-12 ci</t>
  </si>
  <si>
    <t>Basement wall R-21 int plus R-12 ci</t>
  </si>
  <si>
    <t>Compliance based on Section R402.1.4:  Reduce the Total UA by 30%.</t>
  </si>
  <si>
    <t>2a</t>
  </si>
  <si>
    <t>AIR LEAKAGE CONTROL AND EFFICIENT VENTILATION 2a:</t>
  </si>
  <si>
    <t>2b</t>
  </si>
  <si>
    <t>AIR LEAKAGE CONTROL AND EFFICIENT VENTILATION 2b:</t>
  </si>
  <si>
    <t>Compliance based on Section R402.4.1.2:  Reduce the tested air leakage to 2.0 air changes per hour maximum</t>
  </si>
  <si>
    <t>To qualify to claim this credit, the building permit drawings shall specify the option being selected and shall specify the maximum tested building air leakage and shall show the heat recovery ventilation system.</t>
  </si>
  <si>
    <t>2c</t>
  </si>
  <si>
    <t>AIR LEAKAGE CONTROL AND EFFICIENT VENTILATION 2c:</t>
  </si>
  <si>
    <t>Compliance based on Section R402.4.1.2:  Reduce the tested air leakage to 1.5 air changes per hour maximum</t>
  </si>
  <si>
    <t>HIGH EFFICIENCY HVAC EQUIPMENT 3a:</t>
  </si>
  <si>
    <t>To qualify to claim this credit, the building permit drawings shall specify the option being selected and shall specify the heating equipment type and the minimum equipment efficiency.</t>
  </si>
  <si>
    <t>HIGH EFFICIENCY HVAC EQUIPMENT 3b:</t>
  </si>
  <si>
    <t>HIGH EFFICIENCY HVAC EQUIPMENT 3c:</t>
  </si>
  <si>
    <t>Closed-loop ground source heat pump; with a minimum COP of 3.3</t>
  </si>
  <si>
    <t>Open loop water source heat pump with a maximum pumping hydraulic head of 150 feet and minimum COP of 3.6</t>
  </si>
  <si>
    <t>HIGH EFFICIENCY HVAC EQUIPMENT 3d:</t>
  </si>
  <si>
    <t>To qualify to claim this credit, the building permit drawings shall specify the option being selected and shall specify the heating equipment type and shall show the location of the heating and cooling equipment and all the ductwork.</t>
  </si>
  <si>
    <t>EFFICIENT WATER HEATING 5a:</t>
  </si>
  <si>
    <t>EFFICIENT WATER HEATING 5b:</t>
  </si>
  <si>
    <t>Water heater heated by ground source heat pump meeting the requirements of Option 3c.</t>
  </si>
  <si>
    <t>To qualify to claim this credit, the building permit drawings shall specify the option being selected and shall specify the water heater equipment type and the minimum equipment efficiency and, for solar water heating systems, the calculation of the minimum energy savings.</t>
  </si>
  <si>
    <t>For solar electric systems, the design shall be demonstrated to meet this requirement using the National Renewable Energy Laboratory calculator PVWATTs. Documentation noting solar access shall be included on the plans.</t>
  </si>
  <si>
    <t>To qualify to claim this credit, the building permit drawings shall specify the option being selected and shall show the photovoltaic or wind turbine equipment type, provide documentation of solar and wind access, and include a calculation of the minimum annual energy power production.</t>
  </si>
  <si>
    <t>The library worksheets provided the default component u-factors from the WSEC.  These are the u-factors necessary to complete most projects.</t>
  </si>
  <si>
    <r>
      <t xml:space="preserve">Note: The component library worksheets provide the default component u-factors from the WSEC.  These are the u-factors necessary to complete most projects.  Each of the worksheets contains space for users to input custom components as needed.
Previous versions of this workbook required opening a separate workbook containing the component libraries (CPLibrary.xls.)  This current version consolidates these two workbooks into one.  If you have been maintaining your own custom library entries, you will need to copy the custom entries from your original CPLibrary worksheet into the appropriate tab of this worksheet (do not copy the entire worksheets from the original CPLibrary worksheet – these entries will not be recognized by the component performance worksheets.  </t>
    </r>
    <r>
      <rPr>
        <b/>
        <i/>
        <u/>
        <sz val="10"/>
        <rFont val="Arial"/>
        <family val="2"/>
      </rPr>
      <t>We strongly advise that you keep your original CPLibrary worksheet as a backup.</t>
    </r>
    <r>
      <rPr>
        <b/>
        <i/>
        <sz val="10"/>
        <rFont val="Arial"/>
        <family val="2"/>
      </rPr>
      <t xml:space="preserve">
</t>
    </r>
  </si>
  <si>
    <t>First, identify the building's thermal envelope.  This is the part of the building that separates the heated and unheated spaces.  Each different component of the building's thermal envelope should be clearly shown on the plans.  Read the component descriptions in the WSEC.  Match the construction method utilized in the project with the proper code description of the component.</t>
  </si>
  <si>
    <t xml:space="preserve">   Energy Credit Options (Table 406.2)</t>
  </si>
  <si>
    <t>WSU Energy Program does encourage e-mail input on this product.  Comments from users will be used to update the worksheets and improve these instructions.  Send your comments to energycode@energy.wsu.edu</t>
  </si>
  <si>
    <t>kWh</t>
  </si>
  <si>
    <t>Flat/Vaulted Ceilings</t>
  </si>
  <si>
    <t>Component Performance, R occupancies</t>
  </si>
  <si>
    <t xml:space="preserve">The Proposed Design Values at the top of the worksheet are a summary of the data entered on the rest of the worksheet, and perform the calculation required by WSEC R402.1.4 Total UA alternative. </t>
  </si>
  <si>
    <t xml:space="preserve">The Code Target Values on the top of the worksheet perform the calculations as prescribed in the WSEC R402.1.4 Total UA alternative. </t>
  </si>
  <si>
    <t>No other use or purpose for copying is permitted including, without limitation, changing password protected cells in the Workbooks or selling or using the Spreadsheets and Workbooks in any way calculated to derive profit as a product or service. Report any violations of this Copyright Policy to: energycode@energy.wsu.edu.</t>
  </si>
  <si>
    <t>WSU Energy Program will provide limited direct support for this product.  Due to limited funding, it is simply not possible to complete forms for the public.</t>
  </si>
  <si>
    <t xml:space="preserve">   Group R occupancies as defined by the IECC</t>
  </si>
  <si>
    <t>Proposed Design</t>
  </si>
  <si>
    <r>
      <t>·</t>
    </r>
    <r>
      <rPr>
        <sz val="10"/>
        <rFont val="Arial"/>
        <family val="2"/>
      </rPr>
      <t xml:space="preserve"> Most components are listed in terms of area in square feet (ft²).  </t>
    </r>
    <r>
      <rPr>
        <u/>
        <sz val="10"/>
        <rFont val="Arial"/>
        <family val="2"/>
      </rPr>
      <t xml:space="preserve">Slabs are measured by the linear foot </t>
    </r>
    <r>
      <rPr>
        <sz val="10"/>
        <rFont val="Arial"/>
        <family val="2"/>
      </rPr>
      <t xml:space="preserve">
  </t>
    </r>
    <r>
      <rPr>
        <u/>
        <sz val="10"/>
        <rFont val="Arial"/>
        <family val="2"/>
      </rPr>
      <t xml:space="preserve"> (ft)</t>
    </r>
    <r>
      <rPr>
        <sz val="10"/>
        <rFont val="Arial"/>
        <family val="2"/>
      </rPr>
      <t>, based on the length of the conditioned slab perimeter.</t>
    </r>
  </si>
  <si>
    <t>Below the Proposed Design Values and the Code Target Values are the Target UA Total, and the Proposed UA Total.  To document compliance with the WSEC, the Proposed UA Total must be less than or equal to the Target UA Total.  In addition, you must select at least Energy Credit options, listed at the bottom of the worksheet, for a total of at least 1.5 credits to meet minimum WSEC requirements for a small dwelling unit, 3.5 credits for a medium dwelling unit, and 4.5 credits for large dwelling unit. The CPWorksheet will add the note “Qualifies” next to the Target and Proposed UA totals and Energy Credits, when these requirements are met.  You can not trade surplus Energy Credits for minimum envelope requirements.</t>
  </si>
  <si>
    <t>5c</t>
  </si>
  <si>
    <t>5d</t>
  </si>
  <si>
    <t>SECTION R406</t>
  </si>
  <si>
    <t>1.5 credits</t>
  </si>
  <si>
    <t>0.5 credits</t>
  </si>
  <si>
    <r>
      <t xml:space="preserve">R406.1 Scope. </t>
    </r>
    <r>
      <rPr>
        <sz val="14"/>
        <rFont val="Times New Roman"/>
        <family val="1"/>
      </rPr>
      <t xml:space="preserve">This section establishes options for additional criteria to be met for one- and two-family dwellings and townhouses, as defined in Section 101.2 of the </t>
    </r>
    <r>
      <rPr>
        <i/>
        <sz val="14"/>
        <rFont val="Times New Roman"/>
        <family val="1"/>
      </rPr>
      <t>International Residential Code</t>
    </r>
    <r>
      <rPr>
        <sz val="14"/>
        <rFont val="Times New Roman"/>
        <family val="1"/>
      </rPr>
      <t xml:space="preserve"> to demonstrate compliance with this code.</t>
    </r>
  </si>
  <si>
    <r>
      <t xml:space="preserve">R406.2 Additional energy efficiency requirements (Mandatory). </t>
    </r>
    <r>
      <rPr>
        <sz val="14"/>
        <rFont val="Times New Roman"/>
        <family val="1"/>
      </rPr>
      <t>Each dwelling unit in a residential building shall comply with sufficient options from Table R406.2 so as to achieve the following minimum number of credits:</t>
    </r>
  </si>
  <si>
    <t xml:space="preserve">1.    Small Dwelling Unit: </t>
  </si>
  <si>
    <t xml:space="preserve">2.    Medium Dwelling Unit: </t>
  </si>
  <si>
    <t xml:space="preserve">3.    Large Dwelling Unit: </t>
  </si>
  <si>
    <t>4.    Additions less than 500 square feet:</t>
  </si>
  <si>
    <t>Vertical fenestration U  = 0.28</t>
  </si>
  <si>
    <t xml:space="preserve">Vertical fenestration U  = 0.25 </t>
  </si>
  <si>
    <t>Prescriptive compliance is based on Table R402.1.1 with the following modifications:  Vertical fenestration U  = 0.22</t>
  </si>
  <si>
    <t>EFFICIENT BUILDING ENVELOPE 1d:</t>
  </si>
  <si>
    <t>Prescriptive compliance is based on Table R402.1.1 with the following modifications:</t>
  </si>
  <si>
    <t>Vertical fenestration U = 0.24</t>
  </si>
  <si>
    <t>Compliance based on R402.4.1.2:  Reduce the tested air leakage to 3.0 air changes per hour maximum</t>
  </si>
  <si>
    <t>To qualify to claim this credit, the building permit drawings shall specify the option being selected and shall specify the maximum tested building air leakage and shall show the qualifying ventilation system.</t>
  </si>
  <si>
    <t>Gas, propane or oil-fired furnace with minimum AFUE of 94%, or</t>
  </si>
  <si>
    <t>Gas, propane or oiled-fired boiler with minimum AFUE of 92%</t>
  </si>
  <si>
    <t>Air-source heat pump with minimum HSPF of 9.0</t>
  </si>
  <si>
    <t>Ductless Split System Heat Pumps, Zonal Control: In homes where the primary space heating system is zonal electric heating, a ductless heat pump system shall be installed and provide heating to the largest zone of the housing unit.</t>
  </si>
  <si>
    <t>HIGH EFFICIENCY HVAC DISTRIBUTION SYSTEM:</t>
  </si>
  <si>
    <t>All heating and cooling system components installed inside the conditioned space. This includes all equipment and distribution system components such as forced air ducts, hydronic piping, hydronic floor heating loop, convectors and radiators. All combustion equipment shall be direct vent or sealed combustion.</t>
  </si>
  <si>
    <t>For forced air ducts: A maximum of 10 linear feet of return ducts and 5 linear feet of supply ducts may be located outside the conditioned space. All metallic ducts located outside the conditioned space must have both transverse and longitudinal joints sealed with mastic. If flex ducts are used, they cannot contain splices. Flex duct connections must be made with nylon straps and installed using a plastic strapping tensioning tool. Ducts located outside the conditioned space must be insulated to a minimum of R-8.</t>
  </si>
  <si>
    <t>Electric resistance heat and ductless heat pumps are not permitted under this option.</t>
  </si>
  <si>
    <t>To qualify to claim this credit, the building permit drawings shall specify the option being selected and shall specify the maximum flow rates for all showerheads, kitchen sink faucets, and other lavatory faucets.</t>
  </si>
  <si>
    <t>Gas, propane or oil water heater with a minimum EF of 0.74</t>
  </si>
  <si>
    <t>For R-2 occupancy, a central heat pump water heater with an EF greater than 2.0 that would supply DHW to all the units through a central water loop insulated with R-8 minimum pipe insulation.</t>
  </si>
  <si>
    <t>To qualify to claim this credit, the building permit drawings shall specify the option being selected and shall specify the water heater equipment type and the minimum equipment efficiency.</t>
  </si>
  <si>
    <t>EFFICIENT WATER HEATING 5c:</t>
  </si>
  <si>
    <t>Gas, propane or oil water heater with a minimum EF of 0.91</t>
  </si>
  <si>
    <t>Solar water heating supplementing a minimum standard water heater. Solar water heating will provide a rated minimum savings of 85 therms or 2000 kWh based on the Solar Rating and Certification Corporation (SRCC) Annual Performance of OG-300 Certified Solar Water Heating Systems.</t>
  </si>
  <si>
    <t>Electric heat pump water heater with a minimum EF of 2.0 and meeting the standards of NEEA's Northern Climate Specifications for Heat Pump Water Heaters.</t>
  </si>
  <si>
    <t>EFFICIENT WATER HEATING 5d:</t>
  </si>
  <si>
    <t>A drain water heat recovery unit(s) shall be installed, which captures waste water heat from all the showers, and has a minimum efficiency of 40% if installed for equal flow or a minimum efficiency of 52% if installed for unequal flow. Such units shall be rated in accordance with CSA B55.1 and be so labeled.</t>
  </si>
  <si>
    <t>To qualify to claim this credit, the building permit drawings shall include a plumbing diagram that specifies the drain water heat recovery units and the plumbing layout needed to install it and labels or other documentation shall be provided that demonstrates that the unit complies with the standard.</t>
  </si>
  <si>
    <t>For each 1200 kWh of electrical generation per housing unit provided annually by on-site wind or solar equipment a 0.5 credit shall be allowed, up to 3 credits. Generation shall be calculated as follows:</t>
  </si>
  <si>
    <r>
      <t xml:space="preserve">All whole house ventilation requirements as determined by Section M1507.3 of the </t>
    </r>
    <r>
      <rPr>
        <i/>
        <sz val="12"/>
        <rFont val="Times New Roman"/>
        <family val="1"/>
      </rPr>
      <t>International Residential Code</t>
    </r>
    <r>
      <rPr>
        <sz val="12"/>
        <rFont val="Times New Roman"/>
        <family val="1"/>
      </rPr>
      <t xml:space="preserve"> shall be met with a high efficiency fan (maximum 0.35 watts/cfm), not interlocked with the furnace fan. Ventilation systems using a furnace including an ECM motor are allowed, provided that they are controlled to operate at low speed in ventilation only mode.</t>
    </r>
  </si>
  <si>
    <r>
      <t xml:space="preserve">All whole house ventilation requirements as determined by Section M1507.3 of the </t>
    </r>
    <r>
      <rPr>
        <i/>
        <sz val="12"/>
        <rFont val="Times New Roman"/>
        <family val="1"/>
      </rPr>
      <t>International Residential Code</t>
    </r>
    <r>
      <rPr>
        <sz val="12"/>
        <rFont val="Times New Roman"/>
        <family val="1"/>
      </rPr>
      <t xml:space="preserve"> shall be met with a heat recovery ventilation system with minimum sensible heat recovery efficiency of 0.70.</t>
    </r>
  </si>
  <si>
    <r>
      <t xml:space="preserve">All whole house ventilation requirements as determined by Section M1507.3 of the </t>
    </r>
    <r>
      <rPr>
        <i/>
        <sz val="12"/>
        <rFont val="Times New Roman"/>
        <family val="1"/>
      </rPr>
      <t>International Residential Code</t>
    </r>
    <r>
      <rPr>
        <sz val="12"/>
        <rFont val="Times New Roman"/>
        <family val="1"/>
      </rPr>
      <t xml:space="preserve"> shall be met with a heat recovery ventilation system with minimum sensible heat recovery efficiency of 0.85.</t>
    </r>
  </si>
  <si>
    <r>
      <t>All showerhead and kitchen sink faucets installed in the house shall be rated at 1.75 GPM or less. All other lavatory faucets shall be rated at 1.0 GPM or less.</t>
    </r>
    <r>
      <rPr>
        <vertAlign val="superscript"/>
        <sz val="12"/>
        <rFont val="Times New Roman"/>
        <family val="1"/>
      </rPr>
      <t>c</t>
    </r>
  </si>
  <si>
    <r>
      <t>1d</t>
    </r>
    <r>
      <rPr>
        <vertAlign val="superscript"/>
        <sz val="12"/>
        <rFont val="Times New Roman"/>
        <family val="1"/>
      </rPr>
      <t>a</t>
    </r>
  </si>
  <si>
    <r>
      <t>3a</t>
    </r>
    <r>
      <rPr>
        <vertAlign val="superscript"/>
        <sz val="12"/>
        <rFont val="Times New Roman"/>
        <family val="1"/>
      </rPr>
      <t>b</t>
    </r>
  </si>
  <si>
    <r>
      <t>3b</t>
    </r>
    <r>
      <rPr>
        <vertAlign val="superscript"/>
        <sz val="12"/>
        <rFont val="Times New Roman"/>
        <family val="1"/>
      </rPr>
      <t>b</t>
    </r>
  </si>
  <si>
    <r>
      <t>3c</t>
    </r>
    <r>
      <rPr>
        <vertAlign val="superscript"/>
        <sz val="12"/>
        <rFont val="Times New Roman"/>
        <family val="1"/>
      </rPr>
      <t>b</t>
    </r>
  </si>
  <si>
    <r>
      <t>3d</t>
    </r>
    <r>
      <rPr>
        <vertAlign val="superscript"/>
        <sz val="12"/>
        <rFont val="Times New Roman"/>
        <family val="1"/>
      </rPr>
      <t>b</t>
    </r>
  </si>
  <si>
    <t>1.        Residential bathroom lavatory sink faucets: Maximum flow rate - 3.8 L/min (1.0 gal/min) when tested in accordance with ASME A112.18.1/CSA B125.1.</t>
  </si>
  <si>
    <t>2.        Residential kitchen faucets: Maximum flow rate - 6.6 L/min (1.75 gal/min) when tested in accordance with ASME A112.18.1/CSA B125.1.</t>
  </si>
  <si>
    <t>3.        Residential showerheads: Maximum flow rate - 6.6 L/min (1.75 gal/min) when tested in accordance with ASME A112.18.1/CSA B125.1.</t>
  </si>
  <si>
    <t xml:space="preserve">         Dwelling units less than 1500 square feet in conditioned floor area with less than 300 square feet of fenestration area. </t>
  </si>
  <si>
    <t xml:space="preserve">         Additions to existing building greater than 500 square feet of heated floor area but less than 1500 square feet.</t>
  </si>
  <si>
    <t xml:space="preserve">         All dwelling units that are not included in #1 or #3.</t>
  </si>
  <si>
    <r>
      <t xml:space="preserve">         Exception:</t>
    </r>
    <r>
      <rPr>
        <sz val="14"/>
        <rFont val="Times New Roman"/>
        <family val="1"/>
      </rPr>
      <t xml:space="preserve"> Dwelling units serving R-2 occupancies shall require</t>
    </r>
    <r>
      <rPr>
        <b/>
        <sz val="14"/>
        <rFont val="Times New Roman"/>
        <family val="1"/>
      </rPr>
      <t xml:space="preserve"> 2.5 credits.</t>
    </r>
  </si>
  <si>
    <t xml:space="preserve">         Dwelling units exceeding 5000 square feet of conditioned floor area.</t>
  </si>
  <si>
    <r>
      <t xml:space="preserve">         Exception:</t>
    </r>
    <r>
      <rPr>
        <sz val="14"/>
        <rFont val="Times New Roman"/>
        <family val="1"/>
      </rPr>
      <t xml:space="preserve"> Dwelling units serving R-2 occupancies shall require </t>
    </r>
    <r>
      <rPr>
        <b/>
        <sz val="14"/>
        <rFont val="Times New Roman"/>
        <family val="1"/>
      </rPr>
      <t>2.5 credits.</t>
    </r>
  </si>
  <si>
    <t>The drawings included with the building permit application shall identify which options have been selected and the point value of each option, regardless of whether separate mechanical, plumbing, electrical, or other permits are utilized for the project.</t>
  </si>
  <si>
    <t>Projects using this option may not use Option 1a, 1b or 1c.</t>
  </si>
  <si>
    <t>Projects may only include credit from one space heating option, 3a, 3b, 3c or 3d. When a housing unit has two pieces of equipment (i.e., two furnaces) both must meet the standard to receive the credit.</t>
  </si>
  <si>
    <t>Plumbing Fixtures Flow Ratings. Low flow plumbing fixtures (water closets and urinals) and fittings (faucets and showerheads) shall comply with the following requirements:</t>
  </si>
  <si>
    <t>a.</t>
  </si>
  <si>
    <t>b.</t>
  </si>
  <si>
    <t>c.</t>
  </si>
  <si>
    <t>3.5 credits</t>
  </si>
  <si>
    <t>4.5 credits</t>
  </si>
  <si>
    <t>sq. ft</t>
  </si>
  <si>
    <t>Project Information</t>
  </si>
  <si>
    <t>UA Percent Reduction</t>
  </si>
  <si>
    <t>SheetProtection</t>
  </si>
  <si>
    <t xml:space="preserve">Terms of use were not accepted. </t>
  </si>
  <si>
    <t>For Assistance please contact:</t>
  </si>
  <si>
    <t>Carolyn Roos</t>
  </si>
  <si>
    <t>Washington State University Energy Program</t>
  </si>
  <si>
    <t>roosc@energy.wsu.edu</t>
  </si>
  <si>
    <t>Total UA Alternative Calculator</t>
  </si>
  <si>
    <t>Please include 'UA Alternative Calculator' in the subject line.</t>
  </si>
  <si>
    <t>SheetsUnhidden</t>
  </si>
  <si>
    <t>Calculation Sheets Hidden</t>
  </si>
  <si>
    <t xml:space="preserve"> Please click on "Review &amp; Accept Terms of Use" button below to try again. </t>
  </si>
  <si>
    <t>Mask</t>
  </si>
  <si>
    <t>Perimeter</t>
  </si>
  <si>
    <t>1. Existing baseline  --&gt; Add toggle</t>
  </si>
  <si>
    <t>2. Double counting energy credits</t>
  </si>
  <si>
    <t>To do:</t>
  </si>
  <si>
    <t>5.  Most frequently used section on all drop downs</t>
  </si>
  <si>
    <t>=============================</t>
  </si>
  <si>
    <t xml:space="preserve">=== Most Frequently Used ========= </t>
  </si>
  <si>
    <t>DropDown_UseOfCalculator, Table_UseOfCalculator</t>
  </si>
  <si>
    <t>Show</t>
  </si>
  <si>
    <t>Hide</t>
  </si>
  <si>
    <t>Switch</t>
  </si>
  <si>
    <t>Sum</t>
  </si>
  <si>
    <t>DropDown_Option_1</t>
  </si>
  <si>
    <t>DropDown_Option_2</t>
  </si>
  <si>
    <t>DropDown_Option_3</t>
  </si>
  <si>
    <t>DropDown_Option_4</t>
  </si>
  <si>
    <t>DropDown_Option_5a</t>
  </si>
  <si>
    <t>DropDown_Option_5bc</t>
  </si>
  <si>
    <t>DropDown_Option_5d</t>
  </si>
  <si>
    <t>DropDown_Option_6</t>
  </si>
  <si>
    <t>-</t>
  </si>
  <si>
    <t>Not Selected</t>
  </si>
  <si>
    <t>Efficient Building Envelope</t>
  </si>
  <si>
    <t>Option 4</t>
  </si>
  <si>
    <t>Efficient Water Heating</t>
  </si>
  <si>
    <t>Option 5d</t>
  </si>
  <si>
    <t>Air Leakage Control and Efficient Ventilation</t>
  </si>
  <si>
    <t xml:space="preserve">High Efficiency HVAC </t>
  </si>
  <si>
    <t>Option 6</t>
  </si>
  <si>
    <t>Option 5d: Drain Water Heat Recovery</t>
  </si>
  <si>
    <t>Credits</t>
  </si>
  <si>
    <t>Desc</t>
  </si>
  <si>
    <t>Drain Water Heat Recovery</t>
  </si>
  <si>
    <t>U 0.24 Windows</t>
  </si>
  <si>
    <t>Category</t>
  </si>
  <si>
    <t>Energy Credits</t>
  </si>
  <si>
    <t>Select Options</t>
  </si>
  <si>
    <t>Option 1.6</t>
  </si>
  <si>
    <t xml:space="preserve"> Flat/Vaulted Ceilings U =</t>
  </si>
  <si>
    <t>Proposed</t>
  </si>
  <si>
    <t>Search String</t>
  </si>
  <si>
    <t>Selected U</t>
  </si>
  <si>
    <t>Baseline Area</t>
  </si>
  <si>
    <t>Baseline UA</t>
  </si>
  <si>
    <t>U Values</t>
  </si>
  <si>
    <t>Baseline UA Values</t>
  </si>
  <si>
    <t>Baseline</t>
  </si>
  <si>
    <t>Option Definitions</t>
  </si>
  <si>
    <t>Determine Baseline U-Values</t>
  </si>
  <si>
    <t>R21 cavity+R16 foam INT 2X6W T111</t>
  </si>
  <si>
    <t>Unite forms into one</t>
  </si>
  <si>
    <t>Existing building as baseline</t>
  </si>
  <si>
    <t>warnings about missing data if prescriptive path</t>
  </si>
  <si>
    <t>============================</t>
  </si>
  <si>
    <t>Table R303.1.3(1)</t>
  </si>
  <si>
    <t>Default Metal, Single Pane</t>
  </si>
  <si>
    <t>Default Metal, Double Pane</t>
  </si>
  <si>
    <t>Default Metal w/TB, Single Pane</t>
  </si>
  <si>
    <t>Default Metal w/TB, Double Pane</t>
  </si>
  <si>
    <t>Default Nonmetal or Metal Clad, Single Pane</t>
  </si>
  <si>
    <t>Default Nonmetal or Metal Clad, Double Pane</t>
  </si>
  <si>
    <t>Default Glazed Block</t>
  </si>
  <si>
    <t>R20 Fully insulated</t>
  </si>
  <si>
    <t>Table A6.3, ASHRAE 90.1</t>
  </si>
  <si>
    <t>R25 Fully insulated</t>
  </si>
  <si>
    <t>R30 Fully insulated</t>
  </si>
  <si>
    <t>R35 Fully insulated</t>
  </si>
  <si>
    <t>R40 Fully insulated</t>
  </si>
  <si>
    <t>R45 Fully insulated</t>
  </si>
  <si>
    <t>R50 Fully insulated</t>
  </si>
  <si>
    <t>R20 Fully insulated Heated</t>
  </si>
  <si>
    <t>R25 Fully insulated Heated</t>
  </si>
  <si>
    <t>R30 Fully insulated Heated</t>
  </si>
  <si>
    <t>R35 Fully insulated Heated</t>
  </si>
  <si>
    <t>R40 Fully insulated Heated</t>
  </si>
  <si>
    <t>R45 Fully insulated Heated</t>
  </si>
  <si>
    <t>R50 Fully insulated Heated</t>
  </si>
  <si>
    <t>Added 2020</t>
  </si>
  <si>
    <t>Option 1.7</t>
  </si>
  <si>
    <t>Baylon:  R-11 batt (U=0.095)+R10 under slab</t>
  </si>
  <si>
    <t>Indoor Design Temperature</t>
  </si>
  <si>
    <t>Outdoor Design Temperature</t>
  </si>
  <si>
    <t>Sum of UA</t>
  </si>
  <si>
    <t>Envelope Heat Load</t>
  </si>
  <si>
    <t>Btu / Hour</t>
  </si>
  <si>
    <t>Sum of UA X ∆T</t>
  </si>
  <si>
    <t>Air Leakage Heat Load</t>
  </si>
  <si>
    <t>((Volume X  0.6) X ∆T) X .018))</t>
  </si>
  <si>
    <t>Building Design Heat Load</t>
  </si>
  <si>
    <t>Air Leakage + Envelope Heat Loss</t>
  </si>
  <si>
    <t>Building and Duct Heat Load</t>
  </si>
  <si>
    <t>Maximum Heat Equipment Output</t>
  </si>
  <si>
    <t>Conditioned Volume</t>
  </si>
  <si>
    <t>ft2</t>
  </si>
  <si>
    <t>ft3</t>
  </si>
  <si>
    <t>Building and Duct Heat Loss X 1.25 for heat pumps</t>
  </si>
  <si>
    <t>Building and Duct Heat Loss X 1.40 for all other systems</t>
  </si>
  <si>
    <t>Conditioned Space</t>
  </si>
  <si>
    <t>Unconditioned Space</t>
  </si>
  <si>
    <t>System Type</t>
  </si>
  <si>
    <t>Location of Ducts</t>
  </si>
  <si>
    <t>Table_MaxOutputMultiplier</t>
  </si>
  <si>
    <t>Heat Pump</t>
  </si>
  <si>
    <t>All Other Systems (not heat pump)</t>
  </si>
  <si>
    <r>
      <t>Design Temperature Difference (</t>
    </r>
    <r>
      <rPr>
        <b/>
        <sz val="10"/>
        <rFont val="Calibri"/>
        <family val="2"/>
      </rPr>
      <t>∆</t>
    </r>
    <r>
      <rPr>
        <b/>
        <sz val="10"/>
        <rFont val="Arial"/>
        <family val="2"/>
      </rPr>
      <t>T)</t>
    </r>
  </si>
  <si>
    <t>For ducts located in unconditioned space: Sum of Building Heat Loss X 1.1</t>
  </si>
  <si>
    <t>For ducts located in conditioned space or ductless: Sum of Building Heat Loss X 1</t>
  </si>
  <si>
    <t>Baylon &amp; Kennedy, https://web.ornl.gov/sci/buildings/conf-archive/2007%20B10%20papers/092_Baylon.pdf</t>
  </si>
  <si>
    <t>Update instructions</t>
  </si>
  <si>
    <t>=== Custom Entries: Use NFRC Tested Values  ================</t>
  </si>
  <si>
    <t>Strip out blank rows in menus</t>
  </si>
  <si>
    <t>Vertical Glazing Schedule</t>
  </si>
  <si>
    <t>Nearest Weather Station</t>
  </si>
  <si>
    <t>R-7.5 On top of slab (Existing slab conversion only)</t>
  </si>
  <si>
    <t>Hide All</t>
  </si>
  <si>
    <t>Hide 2-6</t>
  </si>
  <si>
    <t>Rows to Show</t>
  </si>
  <si>
    <t>Determine Baseline Areas for Proposal</t>
  </si>
  <si>
    <t>Selected Baseline</t>
  </si>
  <si>
    <t>Existing Baseline</t>
  </si>
  <si>
    <t>Sum of Perimeter and FP</t>
  </si>
  <si>
    <t>FP</t>
  </si>
  <si>
    <t xml:space="preserve">Proposed Credits </t>
  </si>
  <si>
    <t xml:space="preserve">Baseline Description: </t>
  </si>
  <si>
    <t>Update front matter - copyright</t>
  </si>
  <si>
    <t>Baylon Review:  For 2018, Appendices were not updated</t>
  </si>
  <si>
    <t>Baylon: Still need U and F for R20 perimeter +R20 underslab for below-grade slabs - Estimated as R20 perimeter + R10 underslab</t>
  </si>
  <si>
    <t xml:space="preserve">Hide calc areas </t>
  </si>
  <si>
    <t>Check unlocked areas</t>
  </si>
  <si>
    <t>warings about custom data</t>
  </si>
  <si>
    <t>Heating System Sizing Worksheet</t>
  </si>
  <si>
    <t>Volume, Proposed</t>
  </si>
  <si>
    <t>Volume, Baseline</t>
  </si>
  <si>
    <t>ft3 default</t>
  </si>
  <si>
    <t xml:space="preserve"> Results Message 1</t>
  </si>
  <si>
    <t>=== Custom Entries: Use NFRC Tested U-Values  ================</t>
  </si>
  <si>
    <t>Doors</t>
  </si>
  <si>
    <t>Overhead Glazing</t>
  </si>
  <si>
    <t>Slab on Grade</t>
  </si>
  <si>
    <t xml:space="preserve"> Below Grade Wall U =</t>
  </si>
  <si>
    <t>Slab on Grade F =</t>
  </si>
  <si>
    <t>Floors over Crawlspace U =</t>
  </si>
  <si>
    <t>Vertical Glazing U =</t>
  </si>
  <si>
    <t>Doors U =</t>
  </si>
  <si>
    <t>Wall (above grade)</t>
  </si>
  <si>
    <t>Below Grade Wall</t>
  </si>
  <si>
    <t>Check custom entries meassage</t>
  </si>
  <si>
    <t>Missing Data Message</t>
  </si>
  <si>
    <t>Custom Entries</t>
  </si>
  <si>
    <t>Change password</t>
  </si>
  <si>
    <t>WSU logo - formatting</t>
  </si>
  <si>
    <t>End of calculation area</t>
  </si>
  <si>
    <t>Tier 2/3</t>
  </si>
  <si>
    <t>correct message about window area</t>
  </si>
  <si>
    <t>flag if U-value=0</t>
  </si>
  <si>
    <t>Windows can't be below U0.14</t>
  </si>
  <si>
    <t>Addition less than 500 sf not included in Target Credit calc</t>
  </si>
  <si>
    <t>Project Type</t>
  </si>
  <si>
    <t>drop down on Project type</t>
  </si>
  <si>
    <t>User registration</t>
  </si>
  <si>
    <t>Exception R502.1.1 requires calculation of UA of existing building</t>
  </si>
  <si>
    <t>baseline - code target  - Not selected</t>
  </si>
  <si>
    <t>DropDown_ProjectType</t>
  </si>
  <si>
    <t>New Construction</t>
  </si>
  <si>
    <t>Addition</t>
  </si>
  <si>
    <t>Target energy credits</t>
  </si>
  <si>
    <t>Small Dwelling Unit</t>
  </si>
  <si>
    <t>Medium Dwelling Unit</t>
  </si>
  <si>
    <t>Large Dwelling Unit</t>
  </si>
  <si>
    <t>Floor Area</t>
  </si>
  <si>
    <t>Window Area</t>
  </si>
  <si>
    <t>Occupancy Type</t>
  </si>
  <si>
    <t>DropDown_Occupancy</t>
  </si>
  <si>
    <t>R2 Multifamily</t>
  </si>
  <si>
    <t>Required credits</t>
  </si>
  <si>
    <t>Code version</t>
  </si>
  <si>
    <t>WSEC 2018</t>
  </si>
  <si>
    <t>DropDown_CodeVersion</t>
  </si>
  <si>
    <t>Column</t>
  </si>
  <si>
    <t>Required Credits</t>
  </si>
  <si>
    <t>Classification</t>
  </si>
  <si>
    <t>Error checking</t>
  </si>
  <si>
    <t xml:space="preserve">For 2018 version </t>
  </si>
  <si>
    <t>Code target on most frequently selected</t>
  </si>
  <si>
    <t>Registered IP Address</t>
  </si>
  <si>
    <t>Current IP Address</t>
  </si>
  <si>
    <t>Company</t>
  </si>
  <si>
    <t>Demographic</t>
  </si>
  <si>
    <t>State</t>
  </si>
  <si>
    <t>City</t>
  </si>
  <si>
    <t>Carolyn</t>
  </si>
  <si>
    <t>Roos</t>
  </si>
  <si>
    <t>WSUEP</t>
  </si>
  <si>
    <r>
      <t>Overhead Glazing:</t>
    </r>
    <r>
      <rPr>
        <b/>
        <strike/>
        <sz val="11"/>
        <rFont val="Arial"/>
        <family val="2"/>
      </rPr>
      <t xml:space="preserve"> </t>
    </r>
  </si>
  <si>
    <t>Floors</t>
  </si>
  <si>
    <t>Option 1.1</t>
  </si>
  <si>
    <t>Option 1.2</t>
  </si>
  <si>
    <t>Option 1.3</t>
  </si>
  <si>
    <t>Option 1.4</t>
  </si>
  <si>
    <t>Option 1.5</t>
  </si>
  <si>
    <t>U 0.20 Windows</t>
  </si>
  <si>
    <t>Selected</t>
  </si>
  <si>
    <t>R2</t>
  </si>
  <si>
    <t>R3</t>
  </si>
  <si>
    <t>NA</t>
  </si>
  <si>
    <t>R3/R2 Column</t>
  </si>
  <si>
    <t>Blank</t>
  </si>
  <si>
    <t>Option 2.1</t>
  </si>
  <si>
    <t>Option 2.2</t>
  </si>
  <si>
    <t>Option 2.3</t>
  </si>
  <si>
    <t>Option 2.4</t>
  </si>
  <si>
    <t>Option 3.1</t>
  </si>
  <si>
    <t>Option 3.2</t>
  </si>
  <si>
    <t>Option 3.3</t>
  </si>
  <si>
    <t>Option 3.4</t>
  </si>
  <si>
    <t>Option 3.6</t>
  </si>
  <si>
    <t>Option 4.1</t>
  </si>
  <si>
    <t>Option 4.2</t>
  </si>
  <si>
    <t>Only WSEC 2015</t>
  </si>
  <si>
    <t>Option 5.1</t>
  </si>
  <si>
    <t>Option 5.2</t>
  </si>
  <si>
    <t>Option 5.3</t>
  </si>
  <si>
    <t>Option 5.4</t>
  </si>
  <si>
    <t>Option 5.5</t>
  </si>
  <si>
    <t>Option 5.6</t>
  </si>
  <si>
    <t>Option 6.1</t>
  </si>
  <si>
    <t>Selected Menu</t>
  </si>
  <si>
    <t>Option Data</t>
  </si>
  <si>
    <t>Appliance Package</t>
  </si>
  <si>
    <t>Option 7.1</t>
  </si>
  <si>
    <t>Brief description of options in Table R406</t>
  </si>
  <si>
    <t>Heat Pump:  Air Source with min HSPF of 9.5</t>
  </si>
  <si>
    <t>Ductless Split System with no electric resistance in primary living areas</t>
  </si>
  <si>
    <t>Ducts/distribution system in conditioned space per R403.3.7</t>
  </si>
  <si>
    <t>Gas or propane water heater with min UEF of 0.80</t>
  </si>
  <si>
    <t>Ducts deeply buried in unconditioned attic / Duct leakage&lt;=3 cfm/100 sf of floor area</t>
  </si>
  <si>
    <t>Gas or propane water heater with min UEF of 0.91 OR Solar supplemental OR GSHP</t>
  </si>
  <si>
    <t>https://betterbuiltnw.com/resources/hvac-sizing-tool</t>
  </si>
  <si>
    <t>Remodel changes use</t>
  </si>
  <si>
    <t>c1344</t>
  </si>
  <si>
    <t>Crawl</t>
  </si>
  <si>
    <t>sf home</t>
  </si>
  <si>
    <t>sf</t>
  </si>
  <si>
    <t>s1344</t>
  </si>
  <si>
    <t>s2200</t>
  </si>
  <si>
    <t>b2688</t>
  </si>
  <si>
    <t>In</t>
  </si>
  <si>
    <t>b5000</t>
  </si>
  <si>
    <t>c2460</t>
  </si>
  <si>
    <t>garden style</t>
  </si>
  <si>
    <t>mf</t>
  </si>
  <si>
    <t>vvvvvvvv Not used in 2018 WSREC Analysis</t>
  </si>
  <si>
    <t>Not used in 2018 WSREC Analysis</t>
  </si>
  <si>
    <t>c1500</t>
  </si>
  <si>
    <t>townhome</t>
  </si>
  <si>
    <t>s1500</t>
  </si>
  <si>
    <t>s1000</t>
  </si>
  <si>
    <t>double loaded corridor</t>
  </si>
  <si>
    <t>c1904</t>
  </si>
  <si>
    <t>c2856</t>
  </si>
  <si>
    <t>s1904</t>
  </si>
  <si>
    <t>s2856</t>
  </si>
  <si>
    <t>s952</t>
  </si>
  <si>
    <t>Column Search String</t>
  </si>
  <si>
    <t>Option 1 percentage baseline - Message in message area</t>
  </si>
  <si>
    <t>Ctrl-Z doesn't work</t>
  </si>
  <si>
    <t>Prototypes</t>
  </si>
  <si>
    <t>drop down autoload of prototypes</t>
  </si>
  <si>
    <t>exempt doors for prescriptive method</t>
  </si>
  <si>
    <t>Exempt</t>
  </si>
  <si>
    <t>Show Exempt Door and Window Input?</t>
  </si>
  <si>
    <t>Olympia</t>
  </si>
  <si>
    <t>ContactInfo1</t>
  </si>
  <si>
    <t>ContactInfo2</t>
  </si>
  <si>
    <t>Zipcode</t>
  </si>
  <si>
    <t>ContactInfo3</t>
  </si>
  <si>
    <t>ContactInfo4</t>
  </si>
  <si>
    <t>Add to Mailing List?</t>
  </si>
  <si>
    <t>Registration Date:</t>
  </si>
  <si>
    <t>Version</t>
  </si>
  <si>
    <t>User Registration</t>
  </si>
  <si>
    <t>Version: 2015-2018 Total UA Alternative Worksheet~20200814a~C2200-1.xlsm, 8/14/2020 7:04:19 PM</t>
  </si>
  <si>
    <t>Registrations with this file</t>
  </si>
  <si>
    <t>No</t>
  </si>
  <si>
    <t>First Name</t>
  </si>
  <si>
    <t>Last Name</t>
  </si>
  <si>
    <t>vb</t>
  </si>
  <si>
    <t>Version: 2015-2018 Total UA Alternative Worksheet~20200819~C2200-1.xlsm, 8/19/2020 3:11:38 PM</t>
  </si>
  <si>
    <t>Total UA including exempt window and door</t>
  </si>
  <si>
    <t>UA excluding exempt window and door</t>
  </si>
  <si>
    <t>Exempt door</t>
  </si>
  <si>
    <t>Exempt window</t>
  </si>
  <si>
    <t>Total UA</t>
  </si>
  <si>
    <t>© 2020</t>
  </si>
  <si>
    <r>
      <t xml:space="preserve">There are two types of cells in the CPWorksheet.  Yellow cells are for data entry; </t>
    </r>
    <r>
      <rPr>
        <sz val="10"/>
        <rFont val="Arial"/>
        <family val="2"/>
      </rPr>
      <t>shaded cells perform calculations or summarize data.  Do not attempt to enter data into the shaded cells.</t>
    </r>
  </si>
  <si>
    <t>2607:fa78:118e:1:a0b2:cef6:7d6d:26a</t>
  </si>
  <si>
    <t>Notes</t>
  </si>
  <si>
    <t>Slab Perim</t>
  </si>
  <si>
    <t>R-value</t>
  </si>
  <si>
    <t>F-value</t>
  </si>
  <si>
    <t>Estimated from ASHRAE 90.1</t>
  </si>
  <si>
    <t>Footnote, Table 402</t>
  </si>
  <si>
    <t>WoodSWF 1gl 6% 22x8"</t>
  </si>
  <si>
    <t>Results</t>
  </si>
  <si>
    <t>Figures from:  Baylon &amp; Kennedy, https://web.ornl.gov/sci/buildings/conf-archive/2007%20B10%20papers/092_Baylon.pdf</t>
  </si>
  <si>
    <t>TABLE R406.2</t>
  </si>
  <si>
    <t>Description of Primary Heating Source</t>
  </si>
  <si>
    <t>All Other</t>
  </si>
  <si>
    <t>Group R-2</t>
  </si>
  <si>
    <t>Combustion heating equipment meeting minimum federal efficiency standards for the equipment listed in Table C403.3.2(4) or C403.3.2(5)</t>
  </si>
  <si>
    <t>For heating system based on electric resistance only (either forced air or Zonal)</t>
  </si>
  <si>
    <t>For heating system based on electric resistance with a ductless mini-split heat pump system in accordance with Section R403.7.1 including the exception</t>
  </si>
  <si>
    <t>All other heating systems</t>
  </si>
  <si>
    <t>Electric Resistance Only</t>
  </si>
  <si>
    <t>Electric Resistance with Ductless Heat Pump</t>
  </si>
  <si>
    <t>DropDown_FuelNormalizationSystem</t>
  </si>
  <si>
    <t>Select System Type</t>
  </si>
  <si>
    <t>Full Description</t>
  </si>
  <si>
    <t>System No.</t>
  </si>
  <si>
    <t>System Number</t>
  </si>
  <si>
    <t>Credit Column</t>
  </si>
  <si>
    <t>Total Credits</t>
  </si>
  <si>
    <t>Fuel Normalization Credits</t>
  </si>
  <si>
    <t>Add view tables only</t>
  </si>
  <si>
    <t>Selected Switches</t>
  </si>
  <si>
    <t>Table 406.3 Row Action</t>
  </si>
  <si>
    <t>Show baseline UA calculator - Column Action</t>
  </si>
  <si>
    <t>DropDown_RowAction</t>
  </si>
  <si>
    <t>DropDown_HideShow</t>
  </si>
  <si>
    <t xml:space="preserve">Your Excel Version: </t>
  </si>
  <si>
    <t>Tool Revision Date:</t>
  </si>
  <si>
    <t>Baseline Msg</t>
  </si>
  <si>
    <t>SELECT BASELINE</t>
  </si>
  <si>
    <t>Use of Calculator</t>
  </si>
  <si>
    <t>Code Baseline</t>
  </si>
  <si>
    <t>ENABLE MACROS: Macros must be enabled for this tool to function properly.</t>
  </si>
  <si>
    <t>(C) 2020</t>
  </si>
  <si>
    <t xml:space="preserve">Washington State University  Energy Program </t>
  </si>
  <si>
    <t>Overview and Background</t>
  </si>
  <si>
    <t>These worksheets are designed to document the qualification of building designs by the component performance approach described in the 2015 and 2018 edition, Washington State Energy Code (WSEC).</t>
  </si>
  <si>
    <t>*</t>
  </si>
  <si>
    <t>Getting Started:  The "Group R" tab</t>
  </si>
  <si>
    <t>Options for Code Compliance</t>
  </si>
  <si>
    <r>
      <rPr>
        <b/>
        <sz val="10"/>
        <rFont val="Arial"/>
        <family val="2"/>
      </rPr>
      <t>R405 Simulated Performance Alternative Path:</t>
    </r>
    <r>
      <rPr>
        <sz val="10"/>
        <rFont val="Arial"/>
        <family val="2"/>
      </rPr>
      <t xml:space="preserve"> WSU is not aware that this approach has ever been used. The path relies on energy simulation computer program modeling software. To date, WSU has not identified software that meets the energy simulation software requirements. If you are interested in using this compliance path approach, please contact us at energycode@energy.wsu.edu to discuss this issue before submitting permit forms.</t>
    </r>
  </si>
  <si>
    <t>These instructions do not attempt to teach the requirements of the WSEC.  If you need an overview of the Code, we recommend that you begin by looking at the resources contained on the WSU Energy Program website.</t>
  </si>
  <si>
    <t>http://www.energy.wsu.edu/BuildingEfficiency/EnergyCode.aspx</t>
  </si>
  <si>
    <t>Prescriptive Checklist 2018</t>
  </si>
  <si>
    <t>WSU Energy Code Website</t>
  </si>
  <si>
    <t>http://www.energy.wsu.edu/BuildingEfficiency/EnergyCode/AdditionalResources.aspx</t>
  </si>
  <si>
    <t>Additional Resources</t>
  </si>
  <si>
    <t>Total UA Alternative, Whole Building Trade Off Analysis</t>
  </si>
  <si>
    <t>About Your Selection</t>
  </si>
  <si>
    <t>Hide Inputs Except for Forms?</t>
  </si>
  <si>
    <t>About Your Selection:</t>
  </si>
  <si>
    <t>https://www.sbcc.wa.gov/sites/default/files/2020-02/2018%20WSEC_R%20Final%20package.pdf</t>
  </si>
  <si>
    <t>https://www.sbcc.wa.gov/sites/default/files/2019-12/2015_IRC_Final_2.pdf#:~:text=Authority%3A%20The%20International%20Residential%20Code%20%28Chapter%2051-51%20WAC%29,reference%20by%20the%20Washington%20State%20Legislature%20in%201974.%20originalAttribute=</t>
  </si>
  <si>
    <t>IRC - WA Amendments</t>
  </si>
  <si>
    <t>http://www.energy.wsu.edu/documents/Prescriptive%20Checklist%202018_rev%2012-4-20.pdf</t>
  </si>
  <si>
    <t>Set Up Your Analysis</t>
  </si>
  <si>
    <t>ANALYSIS SET UP</t>
  </si>
  <si>
    <t>Occupancy Type?</t>
  </si>
  <si>
    <t>Code Version?</t>
  </si>
  <si>
    <t>Options are:</t>
  </si>
  <si>
    <t>Brief Description of Selected Options*</t>
  </si>
  <si>
    <t>For Renewable Electric Energy credits, also enter the annual electrical generation per housing unit of the system in kWh, as calculated using NREL's PVWatts calculator or approved alternate.</t>
  </si>
  <si>
    <t>If WSEC 2018 is selected, Table 406.2 Fuel Normalization Credits will show.  Select the system type from the drop down menu.  The fuel normalization credit, energy credits from Table R406.3 and their total will show under "Total Credits".</t>
  </si>
  <si>
    <t>THERMAL ENVELOPE DETAILS - Proposed Design</t>
  </si>
  <si>
    <t>THERMAL ENVELOPE DETAILS - Baseline Design</t>
  </si>
  <si>
    <t>Enter Thermal Envelope Details</t>
  </si>
  <si>
    <t>Inputs are in yellow cells.  The classification and baseline description are automatically determined from your inputs in this section, plus the conditioned floor area (which is entered below.)</t>
  </si>
  <si>
    <t>Select the description of up to seven exterior doors from the drop down menu.  Enter the quantity of each door type.  Enter the width and height of the rough opening in feet and inches for each door type.  Optionally enter an ID.</t>
  </si>
  <si>
    <t>U-Value</t>
  </si>
  <si>
    <t>Your custom entries will automatically appear at the bottom of the drop down menus in the door section on the Group R tab.</t>
  </si>
  <si>
    <r>
      <t xml:space="preserve">Enter a number of </t>
    </r>
    <r>
      <rPr>
        <b/>
        <sz val="10"/>
        <rFont val="Arial"/>
        <family val="2"/>
      </rPr>
      <t>Rows to Show</t>
    </r>
    <r>
      <rPr>
        <sz val="10"/>
        <rFont val="Arial"/>
        <family val="2"/>
      </rPr>
      <t>, to reduce the input area if you don't need all 60 available input rows.  Any leftover data in hidden rows is automatically excluded from calculations and ignored.</t>
    </r>
  </si>
  <si>
    <t>Select the nearest weather station from the drop down menu.  Note only Washington weather stations are included on the menu.</t>
  </si>
  <si>
    <t>Indicate the location of ducts by selecting Unducted, Conditioned Space, or Unconditioned Space from the drop down menu.</t>
  </si>
  <si>
    <t>Results of Heating System Sizing</t>
  </si>
  <si>
    <t>The remainder of this section summarizes calculation results.  The final result is the Maximum Heat Equipment Output.</t>
  </si>
  <si>
    <t>If the tool does not open:</t>
  </si>
  <si>
    <t>Have you enabled editing?  Have you enabled macros?  Have you saved to your harddrive?</t>
  </si>
  <si>
    <t>See the text box "Excel Start Up Tips" to the right</t>
  </si>
  <si>
    <t>If you missed clicking "Enable Macros" just below the Excel ribbon, close this file and open again.</t>
  </si>
  <si>
    <t>Include your Excel version when you email us</t>
  </si>
  <si>
    <t>Is VBA installed in your Office installation? If not, on a PC follow these steps:</t>
  </si>
  <si>
    <t>Go to the Control Panel --&gt; Programs --&gt; Programs and Features</t>
  </si>
  <si>
    <t>Find Microsoft Offcie in the list of programs.  Right click it and select Change</t>
  </si>
  <si>
    <t>In the window that opens, choose Add or Remove Features</t>
  </si>
  <si>
    <t>In the next window, go to Installation Options -&gt; Office Shared features, click Visual Basic for Applications and select Run from My Computer.</t>
  </si>
  <si>
    <t>Click Continue and restart Excel.</t>
  </si>
  <si>
    <t>If Excel brings up an error message that includes  "Removed Part: /xl/vbaProject.bin part", your antivirus may be removing VBA code from Excel files</t>
  </si>
  <si>
    <t>Welcome to the WSU Code Compliance Calculator</t>
  </si>
  <si>
    <t>Vertical Glazing Area Weighted U</t>
  </si>
  <si>
    <t>Overhead Glazing Area Weighted U</t>
  </si>
  <si>
    <t>Exterior Doors Area Weighted U</t>
  </si>
  <si>
    <t>Database Tabs</t>
  </si>
  <si>
    <t xml:space="preserve">Databases with insulation values for building constructions are located on white-colored tabs.  Each database includes a protected (unmodifiable section) at the top with an unprotected area for adding custom descriptions and insulation values at the bottom.  </t>
  </si>
  <si>
    <t>2018 WA State Energy Code</t>
  </si>
  <si>
    <t>2015 WSEC Appendices</t>
  </si>
  <si>
    <t>http://www.energy.wsu.edu/Documents/ga_2015WSEC_Appx.pdf</t>
  </si>
  <si>
    <t xml:space="preserve">To understand the construction descriptions, compare them to the corresponding tables in Appendix A.  </t>
  </si>
  <si>
    <t>For example, compare this partial section of the database descriptions for above-grade wall constructions (in yellow on left) to Table A103.3.1(1) (on right):</t>
  </si>
  <si>
    <r>
      <rPr>
        <b/>
        <sz val="10"/>
        <rFont val="Arial"/>
        <family val="2"/>
      </rPr>
      <t>Example Above-Grade Wall:</t>
    </r>
    <r>
      <rPr>
        <sz val="10"/>
        <rFont val="Arial"/>
        <family val="2"/>
      </rPr>
      <t xml:space="preserve">  "R11 cavity+R5 foam STD 2x4W Lap" describes an above-grade wall with 2x4 standard-framed wood construction with lapped wood siding, having the cavity filled with R11 insulation and with R-5 foam board</t>
    </r>
  </si>
  <si>
    <t>WSU Code Compliance Calculator  - WSEC 2015 &amp;2018</t>
  </si>
  <si>
    <t>Vertical Glazing Database</t>
  </si>
  <si>
    <t>Overhead Glazing Database</t>
  </si>
  <si>
    <t>Door Database</t>
  </si>
  <si>
    <t>U-value</t>
  </si>
  <si>
    <t>Above-Grade Walls Database</t>
  </si>
  <si>
    <t>Flat &amp; Vaulted Ceilings Database</t>
  </si>
  <si>
    <t>Floor Database</t>
  </si>
  <si>
    <t>Weather Database - Heating Design Temperature by City, Washington State</t>
  </si>
  <si>
    <t>The protected, unmodifable sections each includes a "Most Frequently Used" section where most common constructions are selected, followed by the complete database.  Construction descriptions and U-values generally correspond to constructions tabulated in WSEC Appendix A, available at:</t>
  </si>
  <si>
    <t>Entering Custom Constructions and U-values</t>
  </si>
  <si>
    <t xml:space="preserve">Only white areas on database tabs can be edited.   Enter component descriptions and calculated U-factors.  Submit the detailed calculations as part of the application for your building permit. </t>
  </si>
  <si>
    <t>Where proposed construction assemblies are not represented in Appendix A tables, values shall be calculated in accordance with Chapters 21-29 in Standard RS-1 listed in Chapter 5, (ASHRAE Handbook of Fundamentals) using the framing factors listed in Appendix A where applicable.</t>
  </si>
  <si>
    <t>For envelope assemblies containing metal framing, the U-factor shall be determined by one of the following methods:</t>
  </si>
  <si>
    <t>Results of laboratory or field measurements.</t>
  </si>
  <si>
    <t>Standard RS-25, listed in Chapter 5, where the metal framing is bonded on one or both sides to a metal skin or covering.</t>
  </si>
  <si>
    <t>The zone method as provided in Chapter 24 of Standard RS-1, listed in Chapter 5.</t>
  </si>
  <si>
    <t>Results of parallel path correction factors for effective framing/cavity R-values as provided in TABLE A103.3.6.1(1) : Effective R-Values for Metal Framing and Cavity Only for metal stud walls and roof/ceilings.</t>
  </si>
  <si>
    <t>https://www.phnw.org/phnw-mission</t>
  </si>
  <si>
    <r>
      <rPr>
        <b/>
        <sz val="10"/>
        <rFont val="Arial"/>
        <family val="2"/>
      </rPr>
      <t xml:space="preserve">R407 Passive House Path: </t>
    </r>
    <r>
      <rPr>
        <sz val="10"/>
        <rFont val="Arial"/>
        <family val="2"/>
      </rPr>
      <t xml:space="preserve">This new compliance path in the 2018 WSEC-R allows certified Passive House projects to achieve compliance with WSEC-R. There are requirements for documentation at plan review and final site inspection. See Passive House Northwest for more information. </t>
    </r>
    <r>
      <rPr>
        <b/>
        <sz val="10"/>
        <rFont val="Arial"/>
        <family val="2"/>
      </rPr>
      <t xml:space="preserve"> </t>
    </r>
  </si>
  <si>
    <t>For more on Passive House visit</t>
  </si>
  <si>
    <r>
      <t xml:space="preserve">Begin your analysis by answering questions in the "Analysis Set Up" area by selecting options from the drop down menus.   Your responses to these questions will set up the input areas below, such that only inputs areas that are relevant to your analysis show and input areas that do not pertain are hidden and ignored.  In other words, this tool is </t>
    </r>
    <r>
      <rPr>
        <b/>
        <sz val="10"/>
        <rFont val="Arial"/>
        <family val="2"/>
      </rPr>
      <t>user responsive</t>
    </r>
    <r>
      <rPr>
        <sz val="10"/>
        <rFont val="Arial"/>
        <family val="2"/>
      </rPr>
      <t xml:space="preserve">.  The specific sections that hide and show in response to each question are discussed below. </t>
    </r>
  </si>
  <si>
    <t>What code compliance pathway are you using?</t>
  </si>
  <si>
    <t>Question: "What code compliance pathway are you using?:</t>
  </si>
  <si>
    <t>Project Building Type?</t>
  </si>
  <si>
    <t>Classification:</t>
  </si>
  <si>
    <t>Question: "Project Building Type?"</t>
  </si>
  <si>
    <r>
      <rPr>
        <b/>
        <sz val="10"/>
        <rFont val="Arial"/>
        <family val="2"/>
      </rPr>
      <t>Remodel/Alteration</t>
    </r>
    <r>
      <rPr>
        <sz val="10"/>
        <rFont val="Arial"/>
        <family val="2"/>
      </rPr>
      <t xml:space="preserve"> -  An alteration is defined as any construction, retrofit or renovation to an existing structure, other than repair or addition, that requires a permit.  Alterations do </t>
    </r>
    <r>
      <rPr>
        <u/>
        <sz val="10"/>
        <rFont val="Arial"/>
        <family val="2"/>
      </rPr>
      <t>not</t>
    </r>
    <r>
      <rPr>
        <sz val="10"/>
        <rFont val="Arial"/>
        <family val="2"/>
      </rPr>
      <t xml:space="preserve"> require additional energy efficiency requirements per Section R406. </t>
    </r>
  </si>
  <si>
    <t xml:space="preserve"> http://www.energy.wsu.edu/Documents/Alterations%20Remodel%20Worksheet.xlsx</t>
  </si>
  <si>
    <t xml:space="preserve">In most cases if your project is a remodel that does not include an addition, you should use the simpler spreadsheet available at: </t>
  </si>
  <si>
    <t xml:space="preserve">An example where you use this code compliance calculator is an addition to an existing home where there is also a remodel. </t>
  </si>
  <si>
    <r>
      <rPr>
        <sz val="10"/>
        <rFont val="Arial"/>
        <family val="2"/>
      </rPr>
      <t xml:space="preserve">Your selection -- </t>
    </r>
    <r>
      <rPr>
        <b/>
        <sz val="10"/>
        <rFont val="Arial"/>
        <family val="2"/>
      </rPr>
      <t xml:space="preserve">either R2 Multifamily </t>
    </r>
    <r>
      <rPr>
        <sz val="10"/>
        <rFont val="Arial"/>
        <family val="2"/>
      </rPr>
      <t>or</t>
    </r>
    <r>
      <rPr>
        <b/>
        <sz val="10"/>
        <rFont val="Arial"/>
        <family val="2"/>
      </rPr>
      <t xml:space="preserve"> R3 Single family homes and duplexes </t>
    </r>
    <r>
      <rPr>
        <sz val="10"/>
        <rFont val="Arial"/>
        <family val="2"/>
      </rPr>
      <t>-- is used with the permitted floor area and code version to determine the number of Energy Credits required per Section R406.</t>
    </r>
  </si>
  <si>
    <t>Table R406.2 and R406.3: Select Energy Credits and Fuel Normalization Credits</t>
  </si>
  <si>
    <t>Option No.</t>
  </si>
  <si>
    <r>
      <t>For an initial heating system using a heat pump that meets federal standards for the equipment listed in Table C403.3.2(1)C or C403.3.2(2)</t>
    </r>
    <r>
      <rPr>
        <b/>
        <sz val="9"/>
        <rFont val="Arial"/>
        <family val="2"/>
      </rPr>
      <t xml:space="preserve">  </t>
    </r>
    <r>
      <rPr>
        <b/>
        <sz val="10"/>
        <rFont val="Arial"/>
        <family val="2"/>
      </rPr>
      <t>OR</t>
    </r>
    <r>
      <rPr>
        <b/>
        <sz val="9"/>
        <rFont val="Arial"/>
        <family val="2"/>
      </rPr>
      <t xml:space="preserve"> </t>
    </r>
    <r>
      <rPr>
        <sz val="9"/>
        <rFont val="Arial"/>
        <family val="2"/>
      </rPr>
      <t>Air to water heat pump units that are configured to provide both heating and cooling and are rated in accordance with AHRI 550/590.  Heat pump with electric resistance or fossil-fuel supplemental heat requires compliance with WSEC 403.1.2 "Heat Pump Supplementary Heat". Packaged Terminal Heat Pumps (PTAC-HP) requires an HSPF tested value (See SBC Interpretation dated December 2020).</t>
    </r>
  </si>
  <si>
    <t>Question: "Occupancy Type?"</t>
  </si>
  <si>
    <t>Question: "Code Version?"</t>
  </si>
  <si>
    <t>In the next major section, details on the building's thermal envelope are entered, including areas and insulation values for windows, skylights, walls, floor, slab and ceiling or roof.</t>
  </si>
  <si>
    <r>
      <t xml:space="preserve">If you have selected Prescriptive Path as your code compliance path, an additional input opens for an </t>
    </r>
    <r>
      <rPr>
        <b/>
        <sz val="10"/>
        <rFont val="Arial"/>
        <family val="2"/>
      </rPr>
      <t xml:space="preserve">exempt swinging door </t>
    </r>
    <r>
      <rPr>
        <sz val="10"/>
        <rFont val="Arial"/>
        <family val="2"/>
      </rPr>
      <t>up to 24 sq. ft. in rough opening area.  If the allowable area is exceeded, an error message is displayed.  The total area and UA value in this section does not include the exempt door.  On the other hand, the exempt door is included in the Heating System Sizing calculation below, so it is considered in the sizing of the heating equipment.</t>
    </r>
  </si>
  <si>
    <t xml:space="preserve">If you have data for doors you will be installing, you can enter a custom description and U-value in the database.  Click on the button "Go to Custom Input".  This will take you to the custom area on the Doors tab.  On database tabs, enter a unique description and a NFRC-certified U-value.   Window and door manufacturers can generally provide these tested U-values.  You may be asked to provide manufacturer data as part of your building permit application for any such "custom" entries.
</t>
  </si>
  <si>
    <t>On the database tab, click on the button "Return to Input" to return back to door section of the Group R tab.</t>
  </si>
  <si>
    <t>Up to 60 types of vertical glazing can be entered.  Enter the quantity, the width and height of the rough opening, and an optional Plan ID.  As for doors, click the button "Go to Custom Input" to jump to the database tab Vertical Glazing to add custom descriptions and NFRC tested U-values.</t>
  </si>
  <si>
    <t>Enter up to five types of skylights. Enter the quantity, the width and height of the rough opening, and an optional Plan ID.  As for doors, click the button "Go to Custom Input" to jump to the database tab Overhead Glazing  to add custom descriptions and NFRC tested U-values.</t>
  </si>
  <si>
    <t>Up to 4 construction types for flat or vaulted ceilings can be entered.  Select a description of the component from the drop down -- OR click the button Go to Custom Input to enter a description and U-value for a custom construction  on the database tab Flat-Vaulted Ceilings.  Enter an area and optionally a Plan ID.  Custom U-values should be calculated in accordance with WSEC Appendix A.</t>
  </si>
  <si>
    <t>Enter up to 4 construction types for slab on grade foundations.  Select a description of the component from the drop down or click the button Go to Custom Input to enter a description and F-value for a custom construction on the database tab Slab on Grade.  Enter an exterior perimeter and optionally a Plan ID.</t>
  </si>
  <si>
    <t>By the definition of thermal envelope, the exterior perimeter includes the perimeter separating a conditioned space and an adjacent unconditioned space, such as an attached unheated garage.</t>
  </si>
  <si>
    <t/>
  </si>
  <si>
    <r>
      <t xml:space="preserve">This section provides a </t>
    </r>
    <r>
      <rPr>
        <u/>
        <sz val="10"/>
        <rFont val="Arial"/>
        <family val="2"/>
      </rPr>
      <t>preliminary</t>
    </r>
    <r>
      <rPr>
        <sz val="10"/>
        <rFont val="Arial"/>
        <family val="2"/>
      </rPr>
      <t xml:space="preserve"> estimate of the heating system size.  Note this calculator sizes heating systems only; it will not accurately size cooling systems.  This preliminary value should be used only a placeholder until submitting permit documents before an HVAC contractor provides a more accurate heating-cooling calculation that considers air conditioning and zones.</t>
    </r>
  </si>
  <si>
    <t xml:space="preserve">NEEA's SpecPro: </t>
  </si>
  <si>
    <t>Consider using ACCA Manual J and S or NEEA's SpecPro, instead of this worksheet, as approved by AHJ per R403.7 "Equipment Sizing and Efficiency Rating".</t>
  </si>
  <si>
    <t>https://www.acca.org/home</t>
  </si>
  <si>
    <t>ACCA Manual J and S:</t>
  </si>
  <si>
    <t>Optionally enter the conditioned volume.  If you leave this cell blank an average ceiling height of 8.5 feet is assumed and the volume is calculated as the conditioned floor area multiplied by 8.5 feet.</t>
  </si>
  <si>
    <t xml:space="preserve">Select the system type as either Heat Pump or All Other Systems (not heat pump).  </t>
  </si>
  <si>
    <r>
      <rPr>
        <u/>
        <sz val="10"/>
        <rFont val="Arial"/>
        <family val="2"/>
      </rPr>
      <t>Special Tip</t>
    </r>
    <r>
      <rPr>
        <b/>
        <sz val="10"/>
        <rFont val="Arial"/>
        <family val="2"/>
      </rPr>
      <t>:</t>
    </r>
    <r>
      <rPr>
        <sz val="10"/>
        <rFont val="Arial"/>
        <family val="2"/>
      </rPr>
      <t xml:space="preserve">  Early coordination with the HVAC contractor, the builder and the designer prior to submitting plans is critical to reduce the first cost of compliance with the code.  Coordination on the design and location of the thermal distribution air handler and ductwork may result in greater flexibility when considering HVAC options.</t>
    </r>
  </si>
  <si>
    <t>ASHP</t>
  </si>
  <si>
    <t>Fossil</t>
  </si>
  <si>
    <t>GSHP</t>
  </si>
  <si>
    <t>Ductless</t>
  </si>
  <si>
    <t>MessageWarning_FuelNormalizationSystem</t>
  </si>
  <si>
    <t>MessageWarning_FuelNormalizationOption</t>
  </si>
  <si>
    <t>Reselect Option</t>
  </si>
  <si>
    <t>If an Option 3 energy credits are selected that are inconsistent with your fuel normalization selection above, the fuel normalization selection will automatically adjust to the correct system type.</t>
  </si>
  <si>
    <t>Option 4 credits cannot be used with ductless systems.  Option 4 energy credits will be set to NA if a ductless system is selected in Option 3.</t>
  </si>
  <si>
    <t>Tool behavior:  Change fuel normalization menu in response to Option 3?</t>
  </si>
  <si>
    <t>DropDown_YesNo</t>
  </si>
  <si>
    <t>Yes</t>
  </si>
  <si>
    <t>Compatible Systems</t>
  </si>
  <si>
    <t>Error? = 1</t>
  </si>
  <si>
    <t>Error_Option3</t>
  </si>
  <si>
    <t>For assistance contact: energycode@energy.wsu.edu</t>
  </si>
  <si>
    <t>Send us your feedback</t>
  </si>
  <si>
    <t>energycode@energy.wsu.edu</t>
  </si>
  <si>
    <t>We appreciate your feedback!  Please send email suggestions, comments and bug reports to:</t>
  </si>
  <si>
    <r>
      <rPr>
        <b/>
        <sz val="11"/>
        <color theme="1"/>
        <rFont val="Calibri"/>
        <family val="2"/>
        <scheme val="minor"/>
      </rPr>
      <t>We appreciate your feedback!</t>
    </r>
    <r>
      <rPr>
        <sz val="11"/>
        <color theme="1"/>
        <rFont val="Calibri"/>
        <family val="2"/>
        <scheme val="minor"/>
      </rPr>
      <t xml:space="preserve">  Send us your suggestions, comments and bug reports to the email above.</t>
    </r>
  </si>
  <si>
    <t xml:space="preserve">Another indication that the system is blocking macro-enabled Excel files is if the file is "forced to close" before you even have a chance to enable macros or accept the user agreement. </t>
  </si>
  <si>
    <t>If you get this warning, you may need to work with your IT department to allow running this file.</t>
  </si>
  <si>
    <t>Please let us know what anti-virus you are using.</t>
  </si>
  <si>
    <t>Your antivirus may be removing VBA code or disabling macro-enabled Excel files or forcing the file to close</t>
  </si>
  <si>
    <t>mnf</t>
  </si>
  <si>
    <t>Tips / Known Issues</t>
  </si>
  <si>
    <t xml:space="preserve">* </t>
  </si>
  <si>
    <t xml:space="preserve">Print button does not work in pre-2016 versions of Excel </t>
  </si>
  <si>
    <t>This tool is not compatible with Excel for Mac</t>
  </si>
  <si>
    <t>- Temporary Solution:  Print using the Excel Tool Bar:  File / Print</t>
  </si>
  <si>
    <t>- Sorry, we do not have plans to develop a Mac compatible tool.</t>
  </si>
  <si>
    <t>Table 406.2 / 406.3</t>
  </si>
  <si>
    <t>Target</t>
  </si>
  <si>
    <t>Message</t>
  </si>
  <si>
    <t>Inputs</t>
  </si>
  <si>
    <t>Slab-on-Grade Database</t>
  </si>
  <si>
    <t>References</t>
  </si>
  <si>
    <t>https://www.ashrae.org/File%20Library/Technical%20Resources/Standards%20and%20Guidelines/Standards%20Intepretations/IC-90.1-2007-27.pdf</t>
  </si>
  <si>
    <t>ASHARAE 90.1 "Energy Standard for Buildings Except Low-Rise Residential Buildings"</t>
  </si>
  <si>
    <t>https://web.ornl.gov/sci/buildings/conf-archive/2007%20B10%20papers/092_Baylon.pdf</t>
  </si>
  <si>
    <t>Data from Table A6.3 is from Baylon and Kennedy "Calculating the Impact of Ground Contact on Residential Heat Loss", 2007, ASHRAE</t>
  </si>
  <si>
    <t>R-6 fully insulated unheated (est from ASHRAE 90.1/Baylon &amp; Kennedy(2007) fit</t>
  </si>
  <si>
    <t>App A</t>
  </si>
  <si>
    <t>Baseline UA Total</t>
  </si>
  <si>
    <t>U 0.28 Windows / R-38 floors or R-10 Fully insulated slab. Or 5% reduction in UA</t>
  </si>
  <si>
    <t>U 0.28 Windows / R-49 advanced ceiling below vented attic / R-49 advanced vaulted ceiling</t>
  </si>
  <si>
    <t>3.0 ACH50 / High efficiency fans / For R-2, 0.3 cfm per ft2 at 50 Pa. / High efficiency fans</t>
  </si>
  <si>
    <t>2.0 ACH50 / Heat Recovery Ventilation min eff 65%  / For R2, 0.25 cfm per ft2 at 50 Pa / HRV with min SHR eff of 0.65</t>
  </si>
  <si>
    <t>1.5 ACH50 / Heat Recovery Ventilation min eff 75% / For R2, 0.25 cfm per ft2 at 50 Pa  / HRV with min SHR eff of 0.75</t>
  </si>
  <si>
    <t>0.6 ACH50 / Heat Recovery Ventilation min eff 80% / For R2, 0.15 cfm per ft2 at 50 Pa  / HRV with min SHR eff of 0.75</t>
  </si>
  <si>
    <t>High Efficiency Fossil fuel-fired furnace or boiler as primary heating system (Min AFUE 95% for furnace or 90% for boiler)</t>
  </si>
  <si>
    <t xml:space="preserve">Heat Pump: Closed-loop ground source or open loop water source. Min COP 3.3 for GSHP or 3.6 for WSHP. </t>
  </si>
  <si>
    <t>NEEA Tier 1 heat pump water heater</t>
  </si>
  <si>
    <t>NEEA Tier 3 heat pump water heater</t>
  </si>
  <si>
    <t>Leave blank to use default of 8.5 ft. ceiling height</t>
  </si>
  <si>
    <t>Selected System Proposed</t>
  </si>
  <si>
    <t>Selected System Baseline</t>
  </si>
  <si>
    <t>Selected ducts, Proposed</t>
  </si>
  <si>
    <t>Selected ducts, Baseline</t>
  </si>
  <si>
    <t>For remodels/alterations, you must select User-Defined Baseline as your compliance pathway.  In conjunction with system design information, this calculator may be used to determine if the alteration or repair uses "no more energy than the existing building or structure prior to the alteration or repair", per Section R503.1.  Exempt wall and window areas are not allowed, so these input areas hide.  Alterations do not require additional energy efficiency requirements per Section R406, so Tables R406.2 and R406.3 hide when this option is selected.</t>
  </si>
  <si>
    <t>For remodels/alterations, this calculator may be used to determine if the alteration or repair uses "no more energy than the existing building or structure prior to the alteration or repair", per Section R503.1.  For additions, a user-defined baseline analysis may be used for a UA trade off analysis using improvements to the existing dwelling unit to achieve energy credits for the addition.   For more about user-defined baselines for additions and remodels/alterations, see "Project Building Type?" below.</t>
  </si>
  <si>
    <t>If you select an Option 3 energy credit below that is incompatible with the System Type you select, your selection will be automatically changed to a compatible system type.  You will get a pop-up alerting you to the change.</t>
  </si>
  <si>
    <t>Code Baseline, U=0.30</t>
  </si>
  <si>
    <t>Manufacturer ABC, Model X</t>
  </si>
  <si>
    <t>Fiberglass with 10% glazing</t>
  </si>
  <si>
    <t>U=0.30 (Code Baseline)</t>
  </si>
  <si>
    <t>3gl Wood/vinyl, Low-e2 ½" + argon (Code Baseline)</t>
  </si>
  <si>
    <t>2gl wood, e=0.05 argon (Code Baseline)</t>
  </si>
  <si>
    <t>added 2021</t>
  </si>
  <si>
    <t>R10 2' vertical (Code Baseline)</t>
  </si>
  <si>
    <t>R10 Fully insulated Heated (Code Baseline)</t>
  </si>
  <si>
    <t>Custom skylight</t>
  </si>
  <si>
    <t>If you are doing a UA trade-off using improvements to an existing dwelling unit to achieve Option 1 energy credits for an addition, select User-Defined Baseline for your compliance path.  Input areas for exempt wall and window areas hide.  Tables R406.2 and R406.3 show when this option is selected.</t>
  </si>
  <si>
    <t>- We plan to fix this issue.  Stay tuned -- and thanks for your patience.</t>
  </si>
  <si>
    <t>Show Heating System Sizing?</t>
  </si>
  <si>
    <t>Heating System Sizing - Proposed Design</t>
  </si>
  <si>
    <t>Heating System Sizing - Existing Baseline</t>
  </si>
  <si>
    <t>Below Grade Walls and Slabs - Updated to WSEC 2018, Appendix A, Table A104.1 (values changed from WSEC 2015 Appendix A)</t>
  </si>
  <si>
    <t>Updated to WSEC 2018</t>
  </si>
  <si>
    <t>Added in  WSEC 2018</t>
  </si>
  <si>
    <t>Added 2020 from reference</t>
  </si>
  <si>
    <t>Interpolated between R11 and R19</t>
  </si>
  <si>
    <t>Contact Information</t>
  </si>
  <si>
    <t>id_prototypes</t>
  </si>
  <si>
    <t>prototype</t>
  </si>
  <si>
    <t>Tons</t>
  </si>
  <si>
    <t>Furnsize</t>
  </si>
  <si>
    <t>Afloorcon</t>
  </si>
  <si>
    <t>Volume</t>
  </si>
  <si>
    <t>Afloorext</t>
  </si>
  <si>
    <t>Aextwall</t>
  </si>
  <si>
    <t>Aceiling</t>
  </si>
  <si>
    <t>AwinN</t>
  </si>
  <si>
    <t>AwinE</t>
  </si>
  <si>
    <t>AwinS</t>
  </si>
  <si>
    <t>AwinW</t>
  </si>
  <si>
    <t>Adoor</t>
  </si>
  <si>
    <t>Foundtype</t>
  </si>
  <si>
    <t>Afootprint</t>
  </si>
  <si>
    <t>Pfootprint</t>
  </si>
  <si>
    <t>HeightAG</t>
  </si>
  <si>
    <t>HeightBG</t>
  </si>
  <si>
    <t>StackHeight</t>
  </si>
  <si>
    <t>FanCFM</t>
  </si>
  <si>
    <t>achattic</t>
  </si>
  <si>
    <t>achcrawl</t>
  </si>
  <si>
    <t>WH</t>
  </si>
  <si>
    <t>WH_size</t>
  </si>
  <si>
    <t>HPWH_performance</t>
  </si>
  <si>
    <t>ducted</t>
  </si>
  <si>
    <t>WH_fan</t>
  </si>
  <si>
    <t>WH_loc</t>
  </si>
  <si>
    <t>InteractionFactor</t>
  </si>
  <si>
    <t>prototype_desc</t>
  </si>
  <si>
    <t>btype</t>
  </si>
  <si>
    <t>occupants_per_unit</t>
  </si>
  <si>
    <t>occupants</t>
  </si>
  <si>
    <t>numunits</t>
  </si>
  <si>
    <t>height_per_floor</t>
  </si>
  <si>
    <t>floors_per_building</t>
  </si>
  <si>
    <t>total_height</t>
  </si>
  <si>
    <t>baseductsinside</t>
  </si>
  <si>
    <t>bedrooms_per_unit</t>
  </si>
  <si>
    <t>reqvent</t>
  </si>
  <si>
    <t>glazing_pct_hfa</t>
  </si>
  <si>
    <t>perim_width</t>
  </si>
  <si>
    <t>perim_length</t>
  </si>
  <si>
    <t>seemtemplate_sort</t>
  </si>
  <si>
    <t>official_rtf_prototype</t>
  </si>
  <si>
    <t>sqft_per_unit</t>
  </si>
  <si>
    <t>sizecat</t>
  </si>
  <si>
    <t>fan_cfm_per_unit</t>
  </si>
  <si>
    <t>wh_size_per_unit</t>
  </si>
  <si>
    <t>floor_ins_area</t>
  </si>
  <si>
    <t>wall_ins_area</t>
  </si>
  <si>
    <t>bsmtwall_ins_area</t>
  </si>
  <si>
    <t>window_area</t>
  </si>
  <si>
    <t>slab_area</t>
  </si>
  <si>
    <t>wall_to_floor_area</t>
  </si>
  <si>
    <t>duct_area</t>
  </si>
  <si>
    <t>c2200</t>
  </si>
  <si>
    <t>Supply Duct location</t>
  </si>
  <si>
    <t>Supply Duct Area</t>
  </si>
  <si>
    <t>Return Duct location</t>
  </si>
  <si>
    <t>Return Duct Area</t>
  </si>
  <si>
    <t>U-0.18 Windows / R-21+R16ci walls / R-60 adv ceiling &amp; single rafter or joist vaulted  / R-48 floors / R-20 Fully insulated above-grade and below-grade slabs.  Or 40% reduction in UA</t>
  </si>
  <si>
    <t>U-0.22 Windows / R-21+R12ci walls / R-49 adv ceiling / R-38 floors / R-10 Fully insulated above-grade and below-grade slabs / R-21+R-12 ci basement walls  Or 30% reduction in UA</t>
  </si>
  <si>
    <t>U-0.25 Windows / R-21+R4ci walls / R-21+R5ci below-grade walls / R-38 floors or R-10 Fully insulated slab.  Or 15% reduction in UA</t>
  </si>
  <si>
    <t>R23 cavity+R5 foam INT 2X6W T111</t>
  </si>
  <si>
    <t>R23 cavity+R5 foam INT 2X6W Lap</t>
  </si>
  <si>
    <t>R23 cavity+R5 foam ADV 2X6W Lap</t>
  </si>
  <si>
    <t>R23 cavity+R5 foam ADV 2X6W T111</t>
  </si>
  <si>
    <t>R24 cavity+R5 foam INT 2X6W Lap</t>
  </si>
  <si>
    <t>R24 cavity+R5 foam INT 2X6W T111</t>
  </si>
  <si>
    <t>R24 cavity+R5 foam ADV 2X6W Lap</t>
  </si>
  <si>
    <t>R24 cavity+R5 foam ADV 2X6W T111</t>
  </si>
  <si>
    <t>R21 cavity+R16 foam INT 2X6W Lap</t>
  </si>
  <si>
    <t>IMC, 403.8.1 Minimum Ventilation Performance</t>
  </si>
  <si>
    <t>Ventilation Requirements</t>
  </si>
  <si>
    <t xml:space="preserve">Number of Bedrooms </t>
  </si>
  <si>
    <t>column test</t>
  </si>
  <si>
    <t>row test</t>
  </si>
  <si>
    <t>Row Offset</t>
  </si>
  <si>
    <t>Column Offset</t>
  </si>
  <si>
    <t>DropDown_PercentRunTime</t>
  </si>
  <si>
    <t>Continuous Ventilation Requirement</t>
  </si>
  <si>
    <t xml:space="preserve">Fan Size </t>
  </si>
  <si>
    <t>Greater than</t>
  </si>
  <si>
    <t>and Less than or equal</t>
  </si>
  <si>
    <t>https://up.codes/viewer/washington/imc-2015/chapter/4/ventilation#new_403.8.1</t>
  </si>
  <si>
    <t>Selected Multiplier</t>
  </si>
  <si>
    <t>IRC, TABLE M1505.4.3(1), WHOLE-HOUSE MECHANICAL VENTILATION AIRFLOW RATE</t>
  </si>
  <si>
    <t>Code</t>
  </si>
  <si>
    <t>IRC</t>
  </si>
  <si>
    <t>IMC</t>
  </si>
  <si>
    <t>Section 403</t>
  </si>
  <si>
    <t>Chapter 15</t>
  </si>
  <si>
    <t>Continuous</t>
  </si>
  <si>
    <t>Intermittent</t>
  </si>
  <si>
    <t>Section</t>
  </si>
  <si>
    <t>Fan Size</t>
  </si>
  <si>
    <t>CFM</t>
  </si>
  <si>
    <t>VENTILATION</t>
  </si>
  <si>
    <t>Ventilation Code Section</t>
  </si>
  <si>
    <t>Whole House Mechanical Ventilation Airflow Rate</t>
  </si>
  <si>
    <t>Run-Time Percent in Each 4-Hour Segment</t>
  </si>
  <si>
    <t>Occupancy</t>
  </si>
  <si>
    <t>Conditioned floor area</t>
  </si>
  <si>
    <t>Check Baseline meassage</t>
  </si>
  <si>
    <t>Check Baseline Design</t>
  </si>
  <si>
    <t>Combined Message</t>
  </si>
  <si>
    <t>MIL-A-299-00054-00001</t>
  </si>
  <si>
    <t>Milgard</t>
  </si>
  <si>
    <t>R0 cavity+R0 foam STD 2X4W Lap</t>
  </si>
  <si>
    <t>R0 cavity+R0 foam STD 2X4W T111</t>
  </si>
  <si>
    <t>http://www.energy.wsu.edu/Documents/Duct%20Testing%20Standards%20_2018%20WSEC.pdf</t>
  </si>
  <si>
    <t>Is Duct Testing Required?</t>
  </si>
  <si>
    <t>Are ducts systems documented to have been previously sealed as confirmed through field verification and diagnostic testing per RS-33?</t>
  </si>
  <si>
    <t>Are existing duct systems constructed, insulated or sealed with asbestos?</t>
  </si>
  <si>
    <t>Is the project an Addition less than 750 sf of conditioned floor area?</t>
  </si>
  <si>
    <t>Is the air handler installed?</t>
  </si>
  <si>
    <t>Is this a post-contruction test?</t>
  </si>
  <si>
    <t>Existing Construction Exceptions</t>
  </si>
  <si>
    <t>Upper</t>
  </si>
  <si>
    <t>Lower</t>
  </si>
  <si>
    <t>CFM25</t>
  </si>
  <si>
    <t>Maximum total measured duct leakage per square foot</t>
  </si>
  <si>
    <t>CFM25 per sq. ft.</t>
  </si>
  <si>
    <t>DropDown_YesNoNA</t>
  </si>
  <si>
    <t>Is WSEC 2018 and Option 4.1 taken?</t>
  </si>
  <si>
    <t>Download RS-33 (2018)</t>
  </si>
  <si>
    <t>Maximum Duct Leakage:</t>
  </si>
  <si>
    <t>Is this a hydronic heating system?</t>
  </si>
  <si>
    <t>HVAC Thermal Distribution System</t>
  </si>
  <si>
    <t>Selected Proposal</t>
  </si>
  <si>
    <t>Table_DuctLossMultiplier, DropDown_DuctLocation, DropDown_AirHandlerLocation</t>
  </si>
  <si>
    <t>Duct or Distribution System Location</t>
  </si>
  <si>
    <t>Air Handler or Boiler Location</t>
  </si>
  <si>
    <t>Option 4 Error Messages</t>
  </si>
  <si>
    <t>Concatenated message</t>
  </si>
  <si>
    <t>Maximum allowable total measured duct leakage</t>
  </si>
  <si>
    <t>Location of HVAC Distribution System</t>
  </si>
  <si>
    <t>HVAC System Type</t>
  </si>
  <si>
    <t>UA Reduction</t>
  </si>
  <si>
    <t>User Work Area</t>
  </si>
  <si>
    <t>Compliance Certificate</t>
  </si>
  <si>
    <t>Insulation Certificate for Residential New Construction</t>
  </si>
  <si>
    <t>Instructions</t>
  </si>
  <si>
    <t>Link</t>
  </si>
  <si>
    <t>Links to Download Forms, Checklists and Other Resources</t>
  </si>
  <si>
    <t>Prescriptive Checklist for 2018 WSEC</t>
  </si>
  <si>
    <t>Insulation Certificate</t>
  </si>
  <si>
    <t>Prescriptive Checklist</t>
  </si>
  <si>
    <t>Duct Testing Affadavits</t>
  </si>
  <si>
    <t>Existing Construction</t>
  </si>
  <si>
    <t>Affidavit, Existing</t>
  </si>
  <si>
    <t>Affidavit, New</t>
  </si>
  <si>
    <t>Alterations (Remodel) Worksheet</t>
  </si>
  <si>
    <t>Worksheet</t>
  </si>
  <si>
    <t>DropDown_Balanced</t>
  </si>
  <si>
    <t>Balanced</t>
  </si>
  <si>
    <t>Unbalanced</t>
  </si>
  <si>
    <t>Cs from Table M1505.4.3(2)</t>
  </si>
  <si>
    <t>Distributed</t>
  </si>
  <si>
    <t>Not Distributed</t>
  </si>
  <si>
    <t>DropDown_Distribution</t>
  </si>
  <si>
    <t>Is the system Balanced?</t>
  </si>
  <si>
    <t>Is the system Distributed?</t>
  </si>
  <si>
    <t>Selected Cs</t>
  </si>
  <si>
    <t>Ventilation Quality Adjustment, Cs</t>
  </si>
  <si>
    <t>Total (zero for new construction)</t>
  </si>
  <si>
    <t>No above-grade walls in thermal envelope</t>
  </si>
  <si>
    <t>No slab on grade</t>
  </si>
  <si>
    <t>No ceiling/roof in thermal envelope</t>
  </si>
  <si>
    <t>No floors in thermal envelope</t>
  </si>
  <si>
    <t>System Coefficeint, Cs</t>
  </si>
  <si>
    <t>IRC, TABLE M1505.4.3(2) &amp; IMC Table 403.4.3</t>
  </si>
  <si>
    <t>Vertical Glazing and Doors Area Weighted U</t>
  </si>
  <si>
    <t>R11 cavity+R11 foam Metal 16"OC</t>
  </si>
  <si>
    <t>R11 cavity+R12 foam Metal 16"OC</t>
  </si>
  <si>
    <t>R11 cavity+R13 foam Metal 16"OC</t>
  </si>
  <si>
    <t>R11 cavity+R14 foam Metal 16"OC</t>
  </si>
  <si>
    <t>R11 cavity+R15 foam Metal 16"OC</t>
  </si>
  <si>
    <t>R11 cavity+R16 foam Metal 16"OC</t>
  </si>
  <si>
    <t>upddated 7/30/2021</t>
  </si>
  <si>
    <t>N/A for R2</t>
  </si>
  <si>
    <t>Fuel Normalization Credits (406.2)</t>
  </si>
  <si>
    <t>Energy Credits (406.3)</t>
  </si>
  <si>
    <t>Total Credits (406.2 &amp; 406.3)</t>
  </si>
  <si>
    <t>The Prescriptive Path and the Total UA Alternative Approach require additional energy efficiency requirements as specified in Section R406:</t>
  </si>
  <si>
    <t xml:space="preserve">We recommend using the single family and multifamily prescriptive PDF worksheets available from our website for this pathway.  </t>
  </si>
  <si>
    <t>Sliding Door</t>
  </si>
  <si>
    <t>Try Out BetterBuiltNW's HVAC Sizing Tool:</t>
  </si>
  <si>
    <t>U=0.27</t>
  </si>
  <si>
    <t>R23 cavity+R0 foam INT 2X6W Lap</t>
  </si>
  <si>
    <t>R23 cavity+R0 foam INT 2X6W T111</t>
  </si>
  <si>
    <t>R23 cavity+R1 foam INT 2X6W T111</t>
  </si>
  <si>
    <t>R23 cavity+R2 foam INT 2X6W Lap</t>
  </si>
  <si>
    <t>R23 cavity+R2 foam INT 2X6W T111</t>
  </si>
  <si>
    <t>R23 cavity+R1 foam INT 2X6W Lap</t>
  </si>
  <si>
    <t>R23 cavity+R3 foam INT 2X6W Lap</t>
  </si>
  <si>
    <t>R23 cavity+R3 foam INT 2X6W T111</t>
  </si>
  <si>
    <t>R23 cavity+R4 foam INT 2X6W Lap</t>
  </si>
  <si>
    <t>R23 cavity+R4 foam INT 2X6W T111</t>
  </si>
  <si>
    <t>Added Dec 2021</t>
  </si>
  <si>
    <t>Corrected Dec 2021</t>
  </si>
  <si>
    <t>Added May 2021, Corr Dec 2021</t>
  </si>
  <si>
    <t>Addition &amp; Alteration (Exception R502.1.1.1)</t>
  </si>
  <si>
    <t>Message_FloorArea</t>
  </si>
  <si>
    <t>Conditioned Floor Area of Addition</t>
  </si>
  <si>
    <t>Conditioned Floor Area, Baseline Design</t>
  </si>
  <si>
    <t xml:space="preserve">* Results assume your inputs are complete and correct.  Results do not constitute an approval.  Analysis should be reviewed by your AHJ.  </t>
  </si>
  <si>
    <t>https://www.energy.wsu.edu/BuildingEfficiency/EnergyCode.aspx#Permit</t>
  </si>
  <si>
    <r>
      <rPr>
        <b/>
        <sz val="10"/>
        <rFont val="Arial"/>
        <family val="2"/>
      </rPr>
      <t>For combined Addition and Alteration</t>
    </r>
    <r>
      <rPr>
        <sz val="10"/>
        <rFont val="Arial"/>
        <family val="2"/>
      </rPr>
      <t xml:space="preserve"> -  Select "Addition" from the menu and be sure to enter the floor area of the addition.  This is because credit requirements are based on the floor area of the addition.  </t>
    </r>
  </si>
  <si>
    <t>For more using improvements to the existing home in a UA trade off analysis per the exception in R502.1.1.1, watch the C3 training video "Using the C3 Calculator: Small Addition with User-defined Baseline" available at:</t>
  </si>
  <si>
    <t>Taken off menu above</t>
  </si>
  <si>
    <t>ICF, R20</t>
  </si>
  <si>
    <t>ICF, R22</t>
  </si>
  <si>
    <t>ICF, R24</t>
  </si>
  <si>
    <t>ICF, R25</t>
  </si>
  <si>
    <t>ICF, R28</t>
  </si>
  <si>
    <t>SIPS, 8"</t>
  </si>
  <si>
    <t>SIPS, 10"</t>
  </si>
  <si>
    <t>SIPS, 12"</t>
  </si>
  <si>
    <t>NEEA REMRate</t>
  </si>
  <si>
    <t>window test</t>
  </si>
  <si>
    <t>test</t>
  </si>
  <si>
    <t>If User Defined baseline and addition</t>
  </si>
  <si>
    <t>R23 BIBS 2x6W</t>
  </si>
  <si>
    <t>Sliding Glass, Default Nonmetal or Metal Clad, Double Pane</t>
  </si>
  <si>
    <t xml:space="preserve">Metal roof with External roof insulation; 4" polyiso foam R25, Roof sheathing, truss, Rockwool R15, (Total R40) </t>
  </si>
  <si>
    <t>SDloc</t>
  </si>
  <si>
    <t>SDArea</t>
  </si>
  <si>
    <t>RDloc</t>
  </si>
  <si>
    <t>RDArea</t>
  </si>
  <si>
    <t>UA envelope</t>
  </si>
  <si>
    <t>UA envelope+infiltration</t>
  </si>
  <si>
    <t>UA envelope+infiltration+duct loss</t>
  </si>
  <si>
    <t>UA Summary</t>
  </si>
  <si>
    <t>sq. ft.</t>
  </si>
  <si>
    <t>U=0.16</t>
  </si>
  <si>
    <t>U=0.29</t>
  </si>
  <si>
    <t>2x6 24"oc R23 cavity + 4" polyiso</t>
  </si>
  <si>
    <t>2x6 R23 cavity, 16"oc  with 2" XPS</t>
  </si>
  <si>
    <t>Ductless Split System, Zonal Control. Min HSPF of 10. Or Zonal Elec Resist Heat&lt;=2kW</t>
  </si>
  <si>
    <t>Btu / Hour/ deg F</t>
  </si>
  <si>
    <t>Option 3.5.1</t>
  </si>
  <si>
    <t>Option 3.5.2</t>
  </si>
  <si>
    <t>Central Heat Pump: Air source variable speed w/ min HSPF of 10, plus any one of: (1) NEEP cold climate, (2) Reduce UA by 22% and no Option 1 already selected, (3) Option 5.5 unitary Tier IV HPWH, (4) Option 7.1 if not already selected, dryer CEF&gt;=3.93</t>
  </si>
  <si>
    <t>Central Heat Pump:  Air Source with min HSPF of 11</t>
  </si>
  <si>
    <t>Solid Core Door</t>
  </si>
  <si>
    <t>Entry Door</t>
  </si>
  <si>
    <t>French/Glass Door</t>
  </si>
  <si>
    <t>Operable Window (U-0.28)</t>
  </si>
  <si>
    <t>Fixed Window (U-0.27)</t>
  </si>
  <si>
    <t>Fiberglass Door</t>
  </si>
  <si>
    <t>Added 2023 from reference</t>
  </si>
  <si>
    <t>WSEC 2021</t>
  </si>
  <si>
    <t>Option 3.7</t>
  </si>
  <si>
    <t>Option 3.5</t>
  </si>
  <si>
    <t>Option 3.8</t>
  </si>
  <si>
    <t>Option 3.9</t>
  </si>
  <si>
    <t>FUEL NORMALIZATION CREDITS -- WSEC 2018</t>
  </si>
  <si>
    <t>FUEL NORMALIZATION CREDITS -- WSEC 2021</t>
  </si>
  <si>
    <t>Combustion heating equipment meeting minimum federal efficiency standards for the equipment listed in Table C403.3.2(5) or C403.3.2(6)</t>
  </si>
  <si>
    <t xml:space="preserve">For heating system using a heat pump that meets federal standards for the equipment listed in Table C403.3.2(2) or Table C403.3.2(9) OR Air to Water heat pump units that are configured to provide both heating and cooling and are rated in accordance with AHRI 550/590 </t>
  </si>
  <si>
    <t>kW</t>
  </si>
  <si>
    <t>I think these Option U-values are not used.  Only the code baseline.</t>
  </si>
  <si>
    <t>Efficient Water Heating: Drain Heat Recovery</t>
  </si>
  <si>
    <t xml:space="preserve">Efficient Water Heating: Compact Hot Water Distribution </t>
  </si>
  <si>
    <t>NOT USED</t>
  </si>
  <si>
    <t>Search</t>
  </si>
  <si>
    <t>Heat Pump with Supplemental Heating</t>
  </si>
  <si>
    <t>All Other Heating Systems</t>
  </si>
  <si>
    <t>High Efficiency HVAC: Smart Thermostat</t>
  </si>
  <si>
    <t>Error</t>
  </si>
  <si>
    <t>SYSTEM COMPATIBILITY TABLE</t>
  </si>
  <si>
    <t xml:space="preserve">HP with </t>
  </si>
  <si>
    <t>Error_FuelNorm</t>
  </si>
  <si>
    <t>Selected Option 3</t>
  </si>
  <si>
    <t>Selected Fuel Norm</t>
  </si>
  <si>
    <t>Enter Defaults if Error</t>
  </si>
  <si>
    <t>Also ok</t>
  </si>
  <si>
    <t>Is Ductless?</t>
  </si>
  <si>
    <t>FUEL NORMALIZATION CREDITS -- SELECTED</t>
  </si>
  <si>
    <t>Is this a Ductless System?</t>
  </si>
  <si>
    <t>Enter Ductless Systems</t>
  </si>
  <si>
    <t>1=Y</t>
  </si>
  <si>
    <t>Option 1</t>
  </si>
  <si>
    <t>Option 2</t>
  </si>
  <si>
    <t>Option 3</t>
  </si>
  <si>
    <t>Option 5</t>
  </si>
  <si>
    <t>Option 7</t>
  </si>
  <si>
    <t>2018 Message</t>
  </si>
  <si>
    <t>2021 Message</t>
  </si>
  <si>
    <t>Window Message 1</t>
  </si>
  <si>
    <t>UA Message 2</t>
  </si>
  <si>
    <t>U=0.28 (2018 1.3, 1.7)</t>
  </si>
  <si>
    <t>U=0.25 (2021 1.2; 2018 1.4)</t>
  </si>
  <si>
    <t>U=0.22 (2021 1.1; 2018 1.5)</t>
  </si>
  <si>
    <t>U=0.24 (2018 1.1)</t>
  </si>
  <si>
    <t>U=0.20 (2018 1.2)</t>
  </si>
  <si>
    <t>U=0.18 (2021 1.3, 1.4; 2018 1.6)</t>
  </si>
  <si>
    <t>R38 blown Attic ADV baffled (2018 Code Baseline, 1.1-1.4)</t>
  </si>
  <si>
    <t>R49 blown Attic STD baffled (2018 Code Baseline, 1.1-1.4)</t>
  </si>
  <si>
    <t>R49 blown Scissor 4:12 ADV baffled (2018 1.7)</t>
  </si>
  <si>
    <t>R38 batt Vault vented 2x14 16oc (2018 Code Baseline)</t>
  </si>
  <si>
    <t>R38 batt Vault vented 2x14 24oc (2018 Code Baseline)</t>
  </si>
  <si>
    <t>R60 blown Attic ADV baffled (2021 1.3, 1.4; 2018 1.6)</t>
  </si>
  <si>
    <t>R21 cavity+R4 foam INT 2X6W Lap (2018 1.4)</t>
  </si>
  <si>
    <t>R21 cavity+R4 foam INT 2X6W T111 (2018 1.4)</t>
  </si>
  <si>
    <t>R20 cavity+R5 foam STD 2X6W</t>
  </si>
  <si>
    <t>R21 cavity+R12 foam INT 2X6W Lap (2021 1.3; 2018 1.5)</t>
  </si>
  <si>
    <t>R21 cavity+R12 foam INT 2X6W T111 (2021 1.3; 2018 1.5)</t>
  </si>
  <si>
    <t>R21 cavity+R16 foam INT 2X6W Lap (2021 1.4; 2018 1.6)</t>
  </si>
  <si>
    <t>R21 cavity+R16 foam INT 2X6W T111 (2021 1.4; 2018 1.6)</t>
  </si>
  <si>
    <t>Depth</t>
  </si>
  <si>
    <t>R0  Uninsulated</t>
  </si>
  <si>
    <t>R11 Batt</t>
  </si>
  <si>
    <t>R11 Batt w/TB</t>
  </si>
  <si>
    <t>R13 Batt</t>
  </si>
  <si>
    <t xml:space="preserve">R13 Batt w/TB </t>
  </si>
  <si>
    <t>R11 Batt + R5 ci</t>
  </si>
  <si>
    <t>R11 Batt + R5 ci w/TB</t>
  </si>
  <si>
    <t>R11 Batt + R5 ci R10 Fully Underslab</t>
  </si>
  <si>
    <t>R13 Batt + R5 ci</t>
  </si>
  <si>
    <t>R15 Batt</t>
  </si>
  <si>
    <t>R15 Batt w/TB</t>
  </si>
  <si>
    <t>R19 Batt</t>
  </si>
  <si>
    <t>R19 Batt w/TB</t>
  </si>
  <si>
    <t>R19 Batt + R5 ci</t>
  </si>
  <si>
    <t>R19 Batt + R5 ci w/TB</t>
  </si>
  <si>
    <t>R21 Batt</t>
  </si>
  <si>
    <t>R21 Batt w/TB</t>
  </si>
  <si>
    <t>R21 Batt + R5 ci</t>
  </si>
  <si>
    <t>R21 Batt + R5 ci w/TB</t>
  </si>
  <si>
    <t>R21 Batt + R7 ci</t>
  </si>
  <si>
    <t>R21 Batt + R7 ci w/TB</t>
  </si>
  <si>
    <t>R21 Batt + R5 ci R10 Fully Underslab</t>
  </si>
  <si>
    <t>R25 Batt w/TB</t>
  </si>
  <si>
    <t>R25 Batt w/TB, R10 Full Underslab</t>
  </si>
  <si>
    <t>R10 Foam Ext</t>
  </si>
  <si>
    <t>R12 Foam Ext</t>
  </si>
  <si>
    <t>2' depth</t>
  </si>
  <si>
    <t>3.5' depth</t>
  </si>
  <si>
    <t>7' depth</t>
  </si>
  <si>
    <t>DropDown_BelowGradeSlab</t>
  </si>
  <si>
    <t>DropDown_SlabDepths</t>
  </si>
  <si>
    <t>Description from Group R</t>
  </si>
  <si>
    <t>WSU Code Compliance Calculator  - WSEC 2018 &amp; 2021</t>
  </si>
  <si>
    <t>CALCULATION AREA</t>
  </si>
  <si>
    <t>BAseline Design</t>
  </si>
  <si>
    <t>PROPOSED DESIGN - U and F values</t>
  </si>
  <si>
    <t>BASELINE DESIGN -- U and F values</t>
  </si>
  <si>
    <t>CODE BASELINE  -- U and F values</t>
  </si>
  <si>
    <t>BELOW GRADE WALL AND SLAB CALCULATIONS</t>
  </si>
  <si>
    <t>Perim</t>
  </si>
  <si>
    <t>Weighted Averages</t>
  </si>
  <si>
    <t>R10 Foam Ext w/TB, R10 Full Underslab</t>
  </si>
  <si>
    <t>R20 Foam Ext w/TB, R10 Full Underslab</t>
  </si>
  <si>
    <t>======================</t>
  </si>
  <si>
    <t>This worksheet is designed to document the qualification of building designs by the (1) R402.1.1 prescriptive path, including the R406.3 UA percent trade off for Option 1 envelope measures, and (2) R402.1.4 Total UA Alternative (compnent performance).   These are both based on the requirements of the 2021 and the 2018 editions of the Washington State Energy Code (WSEC). This tool can also calculate Efficient Building Envelope Options 1.3 – 1.6 for 2018 and Options 1.1 –1.4 for 2021.</t>
  </si>
  <si>
    <t>2021 WA State Energy Code</t>
  </si>
  <si>
    <t>https://sbcc.wa.gov/sites/default/files/2023-04/2021_WSEC_R_1stPrint-1_042623.pdf</t>
  </si>
  <si>
    <t>Prescriptive Checklist 2021</t>
  </si>
  <si>
    <r>
      <rPr>
        <b/>
        <sz val="10"/>
        <rFont val="Arial"/>
        <family val="2"/>
      </rPr>
      <t xml:space="preserve">R406 Additional Energy Efficiency Requirement: </t>
    </r>
    <r>
      <rPr>
        <sz val="10"/>
        <rFont val="Arial"/>
        <family val="2"/>
      </rPr>
      <t>These requirements are based on energy credits and fuel normalization credits required by WSEC-R 2018 and 2021.</t>
    </r>
  </si>
  <si>
    <t>Under development</t>
  </si>
  <si>
    <t>Select the code version -- either WSEC 2021 or WSEC 2018 -- under which your project is permitted.  Your response modifies the options in Table 406.2 and 406.3.  Code version is also used with floor area and project type to determine the number of energy credits required.</t>
  </si>
  <si>
    <t>Next select Energy Credits from Table R406.3 using the drop down menus for each option.  Once an option is selected a brief description of the option is shown.  For a complete description, refer to WSEC. The total Energy Credits for your selections is totalled.</t>
  </si>
  <si>
    <t>On-site wind or solar electric energy, 0.5 credit per 600 kWh of generation up to maximum of 4.5 credits</t>
  </si>
  <si>
    <t>On-site wind or solar electric energy, 1 credit per 1200 kWh of generation up to maximum of 3 credits</t>
  </si>
  <si>
    <t>Calculated values - Don't overwrite values in orange.</t>
  </si>
  <si>
    <r>
      <rPr>
        <b/>
        <sz val="10"/>
        <rFont val="Arial"/>
        <family val="2"/>
      </rPr>
      <t>U</t>
    </r>
    <r>
      <rPr>
        <b/>
        <sz val="10"/>
        <color theme="5"/>
        <rFont val="Arial"/>
        <family val="2"/>
      </rPr>
      <t xml:space="preserve"> </t>
    </r>
    <r>
      <rPr>
        <sz val="12"/>
        <color theme="5"/>
        <rFont val="Arial"/>
        <family val="2"/>
      </rPr>
      <t>*</t>
    </r>
  </si>
  <si>
    <t>Does WSEC-R 2021 have exempt windows and doors?</t>
  </si>
  <si>
    <t>Show WSEC 2021 or 2018 options?</t>
  </si>
  <si>
    <t>Does WSEC-R 2018 have exempt windows and doors?</t>
  </si>
  <si>
    <t xml:space="preserve">R10 Fully insulated (2018 1.3-1.5) </t>
  </si>
  <si>
    <t>R20 Fully insulated (2018 1.6)</t>
  </si>
  <si>
    <t xml:space="preserve">If you rearrange, add or delete rows below  -- be sure to make corresponding changes to the six areas above. </t>
  </si>
  <si>
    <t>R19 Batt + R5 ci R10 Fully Underslab</t>
  </si>
  <si>
    <t>R13 Batt + R5 ci R10 Fully Underslab</t>
  </si>
  <si>
    <t>Test wall</t>
  </si>
  <si>
    <t>junk</t>
  </si>
  <si>
    <t>Min Federal Efficiency System</t>
  </si>
  <si>
    <t>Show Distribution System Calculator?</t>
  </si>
  <si>
    <t>Show Ventilation Calculator?</t>
  </si>
  <si>
    <t>R49 batt Vault  24oc</t>
  </si>
  <si>
    <t>R60 batt Vault  24oc</t>
  </si>
  <si>
    <t>For Existing Construction:  Are Any of These Exceptions True?</t>
  </si>
  <si>
    <t>Option 3.10</t>
  </si>
  <si>
    <t>Option 3.11</t>
  </si>
  <si>
    <t>Option 3,11</t>
  </si>
  <si>
    <t>Qualified product list</t>
  </si>
  <si>
    <t>N/A</t>
  </si>
  <si>
    <t>Option 5.7</t>
  </si>
  <si>
    <t>Option 5.8</t>
  </si>
  <si>
    <t>Energy Star gas or propane water heater with min UEF of 0.80</t>
  </si>
  <si>
    <r>
      <t xml:space="preserve">Split system heat pump water heater with min UEF of 2.9 for R3 </t>
    </r>
    <r>
      <rPr>
        <b/>
        <sz val="10"/>
        <rFont val="Arial"/>
        <family val="2"/>
      </rPr>
      <t>OR</t>
    </r>
    <r>
      <rPr>
        <sz val="10"/>
        <rFont val="Arial"/>
        <family val="2"/>
      </rPr>
      <t xml:space="preserve"> for R2, NEEA Tier 3.</t>
    </r>
  </si>
  <si>
    <t>Combination water heating and space heating system with gas-fired heat pump water heater meeting NEEA Tier 2.  For R2, must supply all units.</t>
  </si>
  <si>
    <t>Table R406.3 Energy Credits</t>
  </si>
  <si>
    <t>Electric Resistance with Ductless Heat Pump OR electric resistance with max 2 kW installed capacity</t>
  </si>
  <si>
    <r>
      <t xml:space="preserve">Energy star gas or propane water heater with min UEF of 0.91 </t>
    </r>
    <r>
      <rPr>
        <b/>
        <sz val="10"/>
        <rFont val="Arial"/>
        <family val="2"/>
      </rPr>
      <t>OR</t>
    </r>
    <r>
      <rPr>
        <sz val="10"/>
        <rFont val="Arial"/>
        <family val="2"/>
      </rPr>
      <t xml:space="preserve"> Solar supplemental water heating </t>
    </r>
    <r>
      <rPr>
        <b/>
        <sz val="10"/>
        <rFont val="Arial"/>
        <family val="2"/>
      </rPr>
      <t>OR</t>
    </r>
    <r>
      <rPr>
        <sz val="10"/>
        <rFont val="Arial"/>
        <family val="2"/>
      </rPr>
      <t xml:space="preserve"> GSHP meeting requirements of Option 3.4</t>
    </r>
  </si>
  <si>
    <r>
      <t xml:space="preserve">Gas-fired heat pump water heater meeting NEEA Tier 2 </t>
    </r>
    <r>
      <rPr>
        <b/>
        <sz val="10"/>
        <rFont val="Arial"/>
        <family val="2"/>
      </rPr>
      <t>OR</t>
    </r>
    <r>
      <rPr>
        <sz val="10"/>
        <rFont val="Arial"/>
        <family val="2"/>
      </rPr>
      <t xml:space="preserve"> for R2, meeting ANSI Z21.40.2 and Z21.40.4 or CSA with min UEF of 1.15.  For R2, must serve all units</t>
    </r>
  </si>
  <si>
    <t>Electric heat pump water heater meeting NEEA Tier 3.  For R2, must serve all units, any recirc piping must be insulated to R8</t>
  </si>
  <si>
    <r>
      <t xml:space="preserve">Split system heat pump water heater with min UEF of 2.9 </t>
    </r>
    <r>
      <rPr>
        <b/>
        <sz val="10"/>
        <rFont val="Arial"/>
        <family val="2"/>
      </rPr>
      <t>OR</t>
    </r>
    <r>
      <rPr>
        <sz val="10"/>
        <rFont val="Arial"/>
        <family val="2"/>
      </rPr>
      <t xml:space="preserve"> for R2, NEEA Tier 3.</t>
    </r>
  </si>
  <si>
    <t>Combustion System</t>
  </si>
  <si>
    <r>
      <t xml:space="preserve">Prescriptive Path (Tables 406.2 and 406.3 Only) - </t>
    </r>
    <r>
      <rPr>
        <sz val="10"/>
        <rFont val="Arial"/>
        <family val="2"/>
      </rPr>
      <t>Select this option if you are following the Prescriptive Path and would like to fill out and print Table R406.2 for and Table R406.3 without calculating the UA value or other detailed results.  All input areas for building design details hide, except for the permitted floor area.  Permitted floor area is used to determine the number of energy credits required.</t>
    </r>
  </si>
  <si>
    <t>(C) 2024</t>
  </si>
  <si>
    <t>What is your Excel version?  This tool is not compatible with Excel for Mac or web-based versions of Excel.</t>
  </si>
  <si>
    <t>This calculator also integrates WSU's glazing schedule and the heating system sizing worksheets.  If using the prescriptive PDF worksheets for compliance, you can use this tool to calculate average weighted fenestration U-factor and areas based on your window/door schedule.   The heating system size for new and existing construction is also estimated.  Note it does not do air conditioning sizing or zonal heating calculations.</t>
  </si>
  <si>
    <r>
      <rPr>
        <b/>
        <sz val="10"/>
        <rFont val="Arial"/>
        <family val="2"/>
      </rPr>
      <t>User-Defined Baseline</t>
    </r>
    <r>
      <rPr>
        <sz val="10"/>
        <rFont val="Arial"/>
        <family val="2"/>
      </rPr>
      <t xml:space="preserve"> - This option is primarily used for remodels / alterations or for additions when doing a trade off with the existing home.   There are exceptions where you would use a user-defined baseline for New Construction, such as when doing a UA trade off on a log home.  An additional input area for building baseline design details opens to the right adjacent to the proposed description on the left.  (Depending on the size of your screen, you may have to scroll right to see the baseline input area.)  </t>
    </r>
  </si>
  <si>
    <r>
      <rPr>
        <b/>
        <sz val="10"/>
        <rFont val="Arial"/>
        <family val="2"/>
      </rPr>
      <t>New Construction</t>
    </r>
    <r>
      <rPr>
        <sz val="10"/>
        <rFont val="Arial"/>
        <family val="2"/>
      </rPr>
      <t xml:space="preserve"> - Thermal envelope requirements for new construction of heated residential buildings are per WSEC Section 4.   New construction of dwelling units requires additional energy efficiency credits per Section R406.</t>
    </r>
  </si>
  <si>
    <r>
      <rPr>
        <b/>
        <sz val="10"/>
        <rFont val="Arial"/>
        <family val="2"/>
      </rPr>
      <t>Additions</t>
    </r>
    <r>
      <rPr>
        <sz val="10"/>
        <rFont val="Arial"/>
        <family val="2"/>
      </rPr>
      <t xml:space="preserve"> -  The definition of an addition is "An extension or increase in the conditioned space floor area or height of a building or structure."   Requirements for additions are per Section R502 and requirements for “Alterations” are per Section R503.  Additions require additional energy efficiency credits per Section R406.  Your selection is used with other responses to determine required Energy Credits; in particular additions less than 500 square feet have lower energy credit requirements than new construction of the same size.</t>
    </r>
  </si>
  <si>
    <r>
      <t xml:space="preserve">As with exterior doors, if you have selected Prescriptive Path as your code compliance pathway, an additional input opens for an </t>
    </r>
    <r>
      <rPr>
        <b/>
        <sz val="10"/>
        <rFont val="Arial"/>
        <family val="2"/>
      </rPr>
      <t>exempt window</t>
    </r>
    <r>
      <rPr>
        <sz val="10"/>
        <rFont val="Arial"/>
        <family val="2"/>
      </rPr>
      <t xml:space="preserve"> up to 15 sq. ft. in rough opening area.  If the allowable area is exceeded, an error message is displayed.  The total area and UA value in this section does not include the exempt window.  On the other hand, the exempt window is included in the Heating System Sizing calculation below so it is considered in the sizing of the heating equipment.</t>
    </r>
  </si>
  <si>
    <t>Enter up to 4 construction types for floors over vented crawl spaces, cantilevered floors or floors over an unconditioned space, such as an unheated basement or garage.  Select a description of the component from the drop down or click the button Go to Custom Input to enter a description and U-value for a custom construction on the database tab Floors.  Enter an area and optionally a Plan ID.  Custom U-values must be calculated in accordance with WSEC Appendix A.</t>
  </si>
  <si>
    <t>A Slab-on-Grade Floor is defined as "that portion of a slab floor of the building envelope that is in contact with the ground and that is either above grade or is less than or equal to 24 inches below the final elevation of the nearest exterior grade."  The "nearest exterior grade" is where grade meets the footing.</t>
  </si>
  <si>
    <t>Enter up to 4 construction types for below grade walls and slabs.  Select a description of the component from the drop down.  Or click the button Go to Custom Input to enter a description, slab F-value and wall U-value for a custom construction on the database tab Below Grade Walls &amp; Slabs.  Optionally enter a Plan ID.  Below grade walls and slabs require both area and perimeter dimensions.  If you enter a custom construction, a unique description, U-value and a F-value are required.</t>
  </si>
  <si>
    <t>The tool uses this location to automatically look up the outdoor design temperature and determine the design temperature difference.</t>
  </si>
  <si>
    <t xml:space="preserve">Up to 4 construction types for above-grade exterior walls or walls separating a conditioned space from an unconditioned space, such an unheated garage.  Select a description of the component from the drop down or click the button Go to Custom Input to enter a description and U-value for a custom construction on the database tab Walls (above grade).  Enter an area and optionally a Plan ID.  Custom U-values must be calculated in accordance with WSEC Appendix A.  For more, refer to the FAQ "U-Factors for Non-Prescriptive Constructions" available on our website at: </t>
  </si>
  <si>
    <t>https://www.energy.wsu.edu/BuildingEfficiency/EnergyCode/AdditionalResources.aspx#FAQs</t>
  </si>
  <si>
    <t xml:space="preserve">For more information on slabs, refer to the FAQ title "“Slabs and Below-Grade Walls: Prescriptive Path” available on our website at: </t>
  </si>
  <si>
    <t xml:space="preserve">For more information, refer to the FAQ title "“Slabs and Below-Grade Walls: Prescriptive Path” available on our website at: </t>
  </si>
  <si>
    <t>define ceiling height</t>
  </si>
  <si>
    <t>Per ANSI/RESNET/ICC 301,"Dimensions shall be measured and rounded to the nearest 1/2 foot and the square footage calculated and rounded to the nearest square foot.  Dimensions shall use exterior measurements starting at the exterior finished surface of the outside wall."</t>
  </si>
  <si>
    <t>The first input is the conditioned floor area of the proposed design.  Note if you have selected to analyze a Remodel/Alteration, there is an identical input to the right for the conditioned floor area of the baseline design.  Floor area is measured from the exterior face of the exterior sheathing of the exterior walls</t>
  </si>
  <si>
    <t xml:space="preserve">Prescriptive compliance based on Table R402.1.3 Vertical Fenestration = U 0.22 </t>
  </si>
  <si>
    <r>
      <rPr>
        <sz val="10"/>
        <color rgb="FFFF0000"/>
        <rFont val="Arial"/>
        <family val="2"/>
      </rPr>
      <t xml:space="preserve">Perscriptive compliance per Table 402.1.3 / </t>
    </r>
    <r>
      <rPr>
        <sz val="10"/>
        <rFont val="Arial"/>
        <family val="2"/>
      </rPr>
      <t xml:space="preserve">U-0.25 </t>
    </r>
    <r>
      <rPr>
        <sz val="10"/>
        <color rgb="FFFF0000"/>
        <rFont val="Arial"/>
        <family val="2"/>
      </rPr>
      <t>vertical fenestration</t>
    </r>
    <r>
      <rPr>
        <sz val="10"/>
        <rFont val="Arial"/>
        <family val="2"/>
      </rPr>
      <t xml:space="preserve"> / R-38 floors or R-10 </t>
    </r>
    <r>
      <rPr>
        <sz val="10"/>
        <color rgb="FFFF0000"/>
        <rFont val="Arial"/>
        <family val="2"/>
      </rPr>
      <t>perimeter &amp;</t>
    </r>
    <r>
      <rPr>
        <sz val="10"/>
        <rFont val="Arial"/>
        <family val="2"/>
      </rPr>
      <t xml:space="preserve"> fully insulated slab. Or 15% reduction in UA </t>
    </r>
    <r>
      <rPr>
        <sz val="10"/>
        <color rgb="FFFF0000"/>
        <rFont val="Arial"/>
        <family val="2"/>
      </rPr>
      <t>per section R402.1.5</t>
    </r>
  </si>
  <si>
    <r>
      <rPr>
        <sz val="10"/>
        <color rgb="FFFF0000"/>
        <rFont val="Arial"/>
        <family val="2"/>
      </rPr>
      <t xml:space="preserve">Perscriptive compliance based on Table 402.1.3 / </t>
    </r>
    <r>
      <rPr>
        <sz val="10"/>
        <rFont val="Arial"/>
        <family val="2"/>
      </rPr>
      <t xml:space="preserve">U-0.18 </t>
    </r>
    <r>
      <rPr>
        <sz val="10"/>
        <color rgb="FFFF0000"/>
        <rFont val="Arial"/>
        <family val="2"/>
      </rPr>
      <t>vertical fenestration</t>
    </r>
    <r>
      <rPr>
        <sz val="10"/>
        <rFont val="Arial"/>
        <family val="2"/>
      </rPr>
      <t xml:space="preserve"> / R-21+12ci walls / R-60 adv ceiling / R-38 floors or R-10 </t>
    </r>
    <r>
      <rPr>
        <sz val="10"/>
        <color rgb="FFFF0000"/>
        <rFont val="Arial"/>
        <family val="2"/>
      </rPr>
      <t>perimeter &amp; f</t>
    </r>
    <r>
      <rPr>
        <sz val="10"/>
        <rFont val="Arial"/>
        <family val="2"/>
      </rPr>
      <t xml:space="preserve">ully insulated slab. Or 22.5% reduction in UA </t>
    </r>
    <r>
      <rPr>
        <sz val="10"/>
        <color rgb="FFFF0000"/>
        <rFont val="Arial"/>
        <family val="2"/>
      </rPr>
      <t>per section R402.1.5</t>
    </r>
  </si>
  <si>
    <r>
      <rPr>
        <sz val="10"/>
        <color rgb="FFFF0000"/>
        <rFont val="Arial"/>
        <family val="2"/>
      </rPr>
      <t xml:space="preserve">Prescriptive compliance based on Table R402.1.3 / </t>
    </r>
    <r>
      <rPr>
        <sz val="10"/>
        <rFont val="Arial"/>
        <family val="2"/>
      </rPr>
      <t>U-0.18</t>
    </r>
    <r>
      <rPr>
        <sz val="10"/>
        <color rgb="FFFF0000"/>
        <rFont val="Arial"/>
        <family val="2"/>
      </rPr>
      <t xml:space="preserve"> vertical fenestration </t>
    </r>
    <r>
      <rPr>
        <sz val="10"/>
        <rFont val="Arial"/>
        <family val="2"/>
      </rPr>
      <t xml:space="preserve">/ R-21+R16ci walls / R-60 adv ceiling / R-48 floors / R-20 </t>
    </r>
    <r>
      <rPr>
        <sz val="10"/>
        <color rgb="FFFF0000"/>
        <rFont val="Arial"/>
        <family val="2"/>
      </rPr>
      <t>perimeter &amp; fully</t>
    </r>
    <r>
      <rPr>
        <sz val="10"/>
        <rFont val="Arial"/>
        <family val="2"/>
      </rPr>
      <t xml:space="preserve"> insulated above </t>
    </r>
    <r>
      <rPr>
        <sz val="10"/>
        <color rgb="FFFF0000"/>
        <rFont val="Arial"/>
        <family val="2"/>
      </rPr>
      <t>&amp;</t>
    </r>
    <r>
      <rPr>
        <sz val="10"/>
        <rFont val="Arial"/>
        <family val="2"/>
      </rPr>
      <t xml:space="preserve"> below-grade slabs / R-21+R-16ci basement walls  Or 30% reduction in UA</t>
    </r>
  </si>
  <si>
    <r>
      <rPr>
        <sz val="10"/>
        <color rgb="FFFF0000"/>
        <rFont val="Arial"/>
        <family val="2"/>
      </rPr>
      <t xml:space="preserve">Per Section R402.4.1.2 / </t>
    </r>
    <r>
      <rPr>
        <sz val="10"/>
        <rFont val="Arial"/>
        <family val="2"/>
      </rPr>
      <t>2.0 ACH50 / For R-2, 0.25 cfm per ft2 at 50 Pa. /  HRV with min SHR eff of 0.65</t>
    </r>
    <r>
      <rPr>
        <sz val="10"/>
        <color rgb="FFFF0000"/>
        <rFont val="Arial"/>
        <family val="2"/>
      </rPr>
      <t xml:space="preserve"> per IRC Section M1505.3 or IMC Section 403.8</t>
    </r>
  </si>
  <si>
    <r>
      <rPr>
        <sz val="10"/>
        <color rgb="FFFF0000"/>
        <rFont val="Arial"/>
        <family val="2"/>
      </rPr>
      <t>Per Section R402.4.1.2 /</t>
    </r>
    <r>
      <rPr>
        <sz val="10"/>
        <rFont val="Arial"/>
        <family val="2"/>
      </rPr>
      <t xml:space="preserve">1.5 ACH50 / For R-2, 0.20 cfm per ft2 at 50 Pa. /  HRV with min SHR eff of 0.75 </t>
    </r>
    <r>
      <rPr>
        <sz val="10"/>
        <color rgb="FFFF0000"/>
        <rFont val="Arial"/>
        <family val="2"/>
      </rPr>
      <t>per IRC Section M1505.3 or IMC Section 403.8</t>
    </r>
  </si>
  <si>
    <r>
      <rPr>
        <sz val="10"/>
        <color rgb="FFFF0000"/>
        <rFont val="Arial"/>
        <family val="2"/>
      </rPr>
      <t xml:space="preserve">Per Section R402.4.1.2 </t>
    </r>
    <r>
      <rPr>
        <sz val="10"/>
        <rFont val="Arial"/>
        <family val="2"/>
      </rPr>
      <t xml:space="preserve">0.6ACH50 / For R-2, 0.15 cfm per ft2 at 50 Pa. /  HRV with min SHR eff of 0.80 </t>
    </r>
    <r>
      <rPr>
        <sz val="10"/>
        <color rgb="FFFF0000"/>
        <rFont val="Arial"/>
        <family val="2"/>
      </rPr>
      <t>per IRC Section M1505.3 or IMC Section 403.8</t>
    </r>
  </si>
  <si>
    <t>Option 3.11 is below.</t>
  </si>
  <si>
    <t>Connected Energy Star Certified smart thermostat.</t>
  </si>
  <si>
    <t>Gas fired Heat Pumps meeting ANSI Z21.40.2 &amp; Z21.40.4 or CSA w/ Min UEF of 1.15</t>
  </si>
  <si>
    <t>Combination water and space heating requires Tier 2 NEEA  Advanced gas fired HP water heater Version 1.0</t>
  </si>
  <si>
    <r>
      <rPr>
        <sz val="10"/>
        <color rgb="FFFF0000"/>
        <rFont val="Arial"/>
        <family val="2"/>
      </rPr>
      <t>System Type 1 Table R406.2 Energy Star rated gas or propane</t>
    </r>
    <r>
      <rPr>
        <sz val="10"/>
        <rFont val="Arial"/>
        <family val="2"/>
      </rPr>
      <t xml:space="preserve"> </t>
    </r>
    <r>
      <rPr>
        <sz val="10"/>
        <color rgb="FFFF0000"/>
        <rFont val="Arial"/>
        <family val="2"/>
      </rPr>
      <t xml:space="preserve">(U.S. North) </t>
    </r>
    <r>
      <rPr>
        <sz val="10"/>
        <rFont val="Arial"/>
        <family val="2"/>
      </rPr>
      <t>Min AFUE 95% for furnace or</t>
    </r>
    <r>
      <rPr>
        <sz val="10"/>
        <color rgb="FFFF0000"/>
        <rFont val="Arial"/>
        <family val="2"/>
      </rPr>
      <t xml:space="preserve"> </t>
    </r>
    <r>
      <rPr>
        <sz val="10"/>
        <rFont val="Arial"/>
        <family val="2"/>
      </rPr>
      <t>90% for boiler)</t>
    </r>
  </si>
  <si>
    <r>
      <rPr>
        <sz val="10"/>
        <color rgb="FFFF0000"/>
        <rFont val="Arial"/>
        <family val="2"/>
      </rPr>
      <t xml:space="preserve">System Type 2 Table R406.2 Energy Star Rated gas or propane (U.S.North </t>
    </r>
    <r>
      <rPr>
        <sz val="10"/>
        <rFont val="Arial"/>
        <family val="2"/>
      </rPr>
      <t>supplemental heat for heat pump (Min AFUE 95% for furnace or 90% for boiler)</t>
    </r>
  </si>
  <si>
    <r>
      <t xml:space="preserve">Closed-loop ground source or open loop water source </t>
    </r>
    <r>
      <rPr>
        <sz val="10"/>
        <color rgb="FFFF0000"/>
        <rFont val="Arial"/>
        <family val="2"/>
      </rPr>
      <t>Heat Pump</t>
    </r>
    <r>
      <rPr>
        <sz val="10"/>
        <rFont val="Arial"/>
        <family val="2"/>
      </rPr>
      <t>. Min COP 3.3 for GSHP or 3.6 for WSHP.</t>
    </r>
    <r>
      <rPr>
        <sz val="10"/>
        <color rgb="FFFF0000"/>
        <rFont val="Arial"/>
        <family val="2"/>
      </rPr>
      <t>w/ Max 150 Ft. Hydraulic Head.</t>
    </r>
    <r>
      <rPr>
        <sz val="10"/>
        <rFont val="Arial"/>
        <family val="2"/>
      </rPr>
      <t xml:space="preserve"> </t>
    </r>
  </si>
  <si>
    <r>
      <t xml:space="preserve">Ductless Split System with no electric resistance in primary living areas.  HSPF2, of 9 (HSPF of 10), except HSPF2 of 8.1 (HSPF of 9) if heating load is 24000 </t>
    </r>
    <r>
      <rPr>
        <sz val="10"/>
        <color rgb="FFFF0000"/>
        <rFont val="Arial"/>
        <family val="2"/>
      </rPr>
      <t>BTUs</t>
    </r>
    <r>
      <rPr>
        <sz val="10"/>
        <rFont val="Arial"/>
        <family val="2"/>
      </rPr>
      <t xml:space="preserve"> or less.</t>
    </r>
  </si>
  <si>
    <r>
      <t xml:space="preserve">Air-to-water heat pump with minimum COP of 3.2 </t>
    </r>
    <r>
      <rPr>
        <sz val="10"/>
        <color rgb="FFFF0000"/>
        <rFont val="Arial"/>
        <family val="2"/>
      </rPr>
      <t>@47</t>
    </r>
    <r>
      <rPr>
        <sz val="10"/>
        <color rgb="FFFF0000"/>
        <rFont val="Calibri"/>
        <family val="2"/>
      </rPr>
      <t xml:space="preserve">° </t>
    </r>
    <r>
      <rPr>
        <sz val="10"/>
        <color rgb="FFFF0000"/>
        <rFont val="Arial"/>
        <family val="2"/>
      </rPr>
      <t>F or lessrated per AHRI 550/590.</t>
    </r>
  </si>
  <si>
    <r>
      <t xml:space="preserve">Ducts/distribution system in conditioned space per R403.3.2 </t>
    </r>
    <r>
      <rPr>
        <sz val="10"/>
        <color rgb="FFFF0000"/>
        <rFont val="Arial"/>
        <family val="2"/>
      </rPr>
      <t>Electric resistance, hydronic, ductless and gas fired systems &lt; 80% AFUE systems not permitted</t>
    </r>
  </si>
  <si>
    <t>Check credits</t>
  </si>
  <si>
    <r>
      <t xml:space="preserve">Drain Water Heat Recovery </t>
    </r>
    <r>
      <rPr>
        <sz val="10"/>
        <color rgb="FFFF0000"/>
        <rFont val="Arial"/>
        <family val="2"/>
      </rPr>
      <t>shall include Min. 2 showers incl. tub-showers w/ Min. efficiency of 40% for equal flow or 54% for unequal flow. Rated and labeled CSA B545.1 or IAPMMO IGC 346-2017</t>
    </r>
  </si>
  <si>
    <r>
      <t xml:space="preserve">Compact Hot Water Distribution System </t>
    </r>
    <r>
      <rPr>
        <sz val="10"/>
        <color rgb="FFFF0000"/>
        <rFont val="Arial"/>
        <family val="2"/>
      </rPr>
      <t>Max volume between heat source and fixture is 16 Oz per section R403.5.2, on demand circ. Pump may be required.</t>
    </r>
  </si>
  <si>
    <r>
      <t>For heating system using a heat pump that meets federal standards for the equipment listed in Table C403.3.2(2) and supplemental heating provided by electric resistance or a combustion furnace meeting minimum standards Listed in Table C403.3.2(5)</t>
    </r>
    <r>
      <rPr>
        <sz val="9"/>
        <color rgb="FFFF0000"/>
        <rFont val="Arial"/>
        <family val="2"/>
      </rPr>
      <t>b found in the 2021 WSEC - COMMERCIAL ENERGY CODE.</t>
    </r>
  </si>
  <si>
    <r>
      <t xml:space="preserve">For heating system based on electric resistance with (1) </t>
    </r>
    <r>
      <rPr>
        <sz val="9"/>
        <color rgb="FFFF0000"/>
        <rFont val="Arial"/>
        <family val="2"/>
      </rPr>
      <t xml:space="preserve">inverter driven </t>
    </r>
    <r>
      <rPr>
        <sz val="9"/>
        <rFont val="Arial"/>
        <family val="2"/>
      </rPr>
      <t>ductless mini-split heat pump system installed in the largest zone in the dwelling OR (2) With 2kW or less total installed heating capacity per dwelling</t>
    </r>
  </si>
  <si>
    <t xml:space="preserve">All of:  Energy Star rated, most efficient dishwasher, refrigerator, washinging machine and dryer.  </t>
  </si>
  <si>
    <t>R2 Desc</t>
  </si>
  <si>
    <t>R3 Desc</t>
  </si>
  <si>
    <t>Select Desc</t>
  </si>
  <si>
    <t xml:space="preserve">Gas-fired heat pump water heater meeting NEEA Tier 2 </t>
  </si>
  <si>
    <t xml:space="preserve">Electric heat pump water heater meeting NEEA Tier 3.  </t>
  </si>
  <si>
    <t xml:space="preserve">Split system heat pump water heater with min UEF of 2.9 </t>
  </si>
  <si>
    <t xml:space="preserve">Combination water heating and space heating system with gas-fired heat pump water heater meeting NEEA Tier 2.  </t>
  </si>
  <si>
    <r>
      <t xml:space="preserve">Compliance based on Section R402.4.1.2: Reduce the tested air leakage to 2.0 ACH max at 50 Pa, or for R-2, optional compliance based on Section R402.4.1.2: Reduce the tested air leakage to 0.25 cfm/ft2 max at 50 Pa </t>
    </r>
    <r>
      <rPr>
        <b/>
        <sz val="10"/>
        <color rgb="FFFF0000"/>
        <rFont val="Arial"/>
        <family val="2"/>
      </rPr>
      <t>and</t>
    </r>
    <r>
      <rPr>
        <sz val="10"/>
        <color rgb="FFFF0000"/>
        <rFont val="Arial"/>
        <family val="2"/>
      </rPr>
      <t xml:space="preserve"> All whole house ventilation requirements per IRC M1505.3 or IMC 403.8.</t>
    </r>
  </si>
  <si>
    <r>
      <t xml:space="preserve">Ductless </t>
    </r>
    <r>
      <rPr>
        <sz val="10"/>
        <color rgb="FFFF0000"/>
        <rFont val="Arial"/>
        <family val="2"/>
      </rPr>
      <t xml:space="preserve">Mini </t>
    </r>
    <r>
      <rPr>
        <sz val="10"/>
        <rFont val="Arial"/>
        <family val="2"/>
      </rPr>
      <t>Split</t>
    </r>
    <r>
      <rPr>
        <sz val="10"/>
        <color rgb="FFFF0000"/>
        <rFont val="Arial"/>
        <family val="2"/>
      </rPr>
      <t xml:space="preserve"> Heat Pump</t>
    </r>
    <r>
      <rPr>
        <sz val="10"/>
        <rFont val="Arial"/>
        <family val="2"/>
      </rPr>
      <t xml:space="preserve"> </t>
    </r>
    <r>
      <rPr>
        <sz val="10"/>
        <color rgb="FFFF0000"/>
        <rFont val="Arial"/>
        <family val="2"/>
      </rPr>
      <t xml:space="preserve">W/ </t>
    </r>
    <r>
      <rPr>
        <sz val="10"/>
        <rFont val="Arial"/>
        <family val="2"/>
      </rPr>
      <t xml:space="preserve">Zonal Control. Min HSPF2 of 9 (HSPF of 10) </t>
    </r>
    <r>
      <rPr>
        <sz val="10"/>
        <color rgb="FFFF0000"/>
        <rFont val="Arial"/>
        <family val="2"/>
      </rPr>
      <t xml:space="preserve">installed in largest zone of the home and primary heat is </t>
    </r>
    <r>
      <rPr>
        <sz val="10"/>
        <rFont val="Arial"/>
        <family val="2"/>
      </rPr>
      <t>Zonal Elec Resist Heat</t>
    </r>
  </si>
  <si>
    <r>
      <t xml:space="preserve">Ductless </t>
    </r>
    <r>
      <rPr>
        <sz val="10"/>
        <color rgb="FFFF0000"/>
        <rFont val="Arial"/>
        <family val="2"/>
      </rPr>
      <t xml:space="preserve">Mini </t>
    </r>
    <r>
      <rPr>
        <sz val="10"/>
        <rFont val="Arial"/>
        <family val="2"/>
      </rPr>
      <t>Split</t>
    </r>
    <r>
      <rPr>
        <sz val="10"/>
        <color rgb="FFFF0000"/>
        <rFont val="Arial"/>
        <family val="2"/>
      </rPr>
      <t xml:space="preserve"> Heat Pump</t>
    </r>
    <r>
      <rPr>
        <sz val="10"/>
        <rFont val="Arial"/>
        <family val="2"/>
      </rPr>
      <t xml:space="preserve"> </t>
    </r>
    <r>
      <rPr>
        <sz val="10"/>
        <color rgb="FFFF0000"/>
        <rFont val="Arial"/>
        <family val="2"/>
      </rPr>
      <t xml:space="preserve">W/ </t>
    </r>
    <r>
      <rPr>
        <sz val="10"/>
        <rFont val="Arial"/>
        <family val="2"/>
      </rPr>
      <t xml:space="preserve">Zonal Control. HSPF2 of 9 (HSPF of 10) </t>
    </r>
    <r>
      <rPr>
        <sz val="10"/>
        <color rgb="FFFF0000"/>
        <rFont val="Arial"/>
        <family val="2"/>
      </rPr>
      <t xml:space="preserve">installed in largest zone of the home and primary heat is </t>
    </r>
    <r>
      <rPr>
        <sz val="10"/>
        <rFont val="Arial"/>
        <family val="2"/>
      </rPr>
      <t>Zonal Elec Resist Heat</t>
    </r>
  </si>
  <si>
    <t>R5 2' horizontal, no TB</t>
  </si>
  <si>
    <t>R7.5 2' horizontal, no TB</t>
  </si>
  <si>
    <t>R10 2' horizontal, no TB</t>
  </si>
  <si>
    <t>R15 2' horizontal, no TB</t>
  </si>
  <si>
    <t>R5 4' horizontal, no TB</t>
  </si>
  <si>
    <t>R7.5 4' horizontal, no TB</t>
  </si>
  <si>
    <t>R10 4' horizontal, no TB</t>
  </si>
  <si>
    <t>R15 4' horizontal, no TB</t>
  </si>
  <si>
    <t>R10 2' horizontal w/TB (Code Baseline)</t>
  </si>
  <si>
    <t>R20 2' Vertical</t>
  </si>
  <si>
    <t>ASHRAE Table 6.3.1-1</t>
  </si>
  <si>
    <t>R25 2' Vertical</t>
  </si>
  <si>
    <t>R30 2' Vertical</t>
  </si>
  <si>
    <t>R20 4' Vertical</t>
  </si>
  <si>
    <t>R25 4' Vertical</t>
  </si>
  <si>
    <t>R30 4' Vertical</t>
  </si>
  <si>
    <t>Ecotope: 1991_012_SuperGoodCentsHeat-V4.pdf</t>
  </si>
  <si>
    <t>SELECTED message</t>
  </si>
  <si>
    <t>U=0.28</t>
  </si>
  <si>
    <t>R3 (calculated)</t>
  </si>
  <si>
    <t>R2 (calculated)</t>
  </si>
  <si>
    <t>Changed back to 0.03 and 0.04 from double this.  See email exchange with Jonathan on May 9, 2023.</t>
  </si>
  <si>
    <t>Variable Refrigerant Heat Pump or Air-to-Water Heat Pump</t>
  </si>
  <si>
    <t>Leakage Standard Levels for ducts outside conditioned space</t>
  </si>
  <si>
    <t>2018 Is duct testing required?</t>
  </si>
  <si>
    <t>Selected: is duct testing Required?</t>
  </si>
  <si>
    <t>2021 Is duct testing required?</t>
  </si>
  <si>
    <t>TEST if duct testing is required.</t>
  </si>
  <si>
    <t>Leakage Standard Levels for conditioned space</t>
  </si>
  <si>
    <t>Selected for unconditioned space</t>
  </si>
  <si>
    <t>Is there less than 40 linear feet in unconditioned spaces? (not excepted under WSEC 2021)</t>
  </si>
  <si>
    <t>Selected Exceptions</t>
  </si>
  <si>
    <t>https://www.usailighting.com/stuff/contentmgr/files/1/b90ce247855d0f17438484c003877338/misc/ashrae_90_1_2010.pdf</t>
  </si>
  <si>
    <t>SBCC Interpretation of Table A6.3</t>
  </si>
  <si>
    <t xml:space="preserve">For Table A6.3 refer to </t>
  </si>
  <si>
    <t>https://unmethours.com/question/3629/f-factor-calculation-ashrae-901-2007-table-a63/</t>
  </si>
  <si>
    <t>Unheated</t>
  </si>
  <si>
    <t>Heated</t>
  </si>
  <si>
    <t>CALCULATOR 1: Calculate F-value of heated and unheated fully insulated slab from R-value of insulation</t>
  </si>
  <si>
    <t>Data from Table A6.3</t>
  </si>
  <si>
    <t>Curve Fit</t>
  </si>
  <si>
    <t>R-Value</t>
  </si>
  <si>
    <t>Unheated Slab</t>
  </si>
  <si>
    <t>Heated Slab</t>
  </si>
  <si>
    <t>R49 blown Attic ADV baffled (2018 1.5, 1.7, 2021 Code Baseline)</t>
  </si>
  <si>
    <t>R21 cavity+R0 foam INT 2X6W Lap (Code Baseline)</t>
  </si>
  <si>
    <t>R21 cavity+R0 foam INT 2X6W T111 (Code Baseline)</t>
  </si>
  <si>
    <t>R13 cavity+R10 foam STD 2X4W</t>
  </si>
  <si>
    <t>3/19/2024:  Max glazing percent in baseline added to all but remodels</t>
  </si>
  <si>
    <t>R38 vented Joist (2021 1.2, 1,3; 2018 1.3-1.5)</t>
  </si>
  <si>
    <t>R38 vented Post/Beam (2021 1.2, 1.3; 2018 1.3-1.5)</t>
  </si>
  <si>
    <t>R48 vented Joist (2021 1.4; 2018 1.6)</t>
  </si>
  <si>
    <t>R48 vented Post/Beam (2021 1.4; 2018 1.6)</t>
  </si>
  <si>
    <t>R30 vented Joist (Code Baseline)</t>
  </si>
  <si>
    <t>R30 vented Post/Beam (Code Baseline)</t>
  </si>
  <si>
    <t>R19 vented Joist</t>
  </si>
  <si>
    <t>R0 vented Joist</t>
  </si>
  <si>
    <t>R0 vented Post/Beam</t>
  </si>
  <si>
    <t>R11 vented Joist</t>
  </si>
  <si>
    <t>R11 vented Post/Beam</t>
  </si>
  <si>
    <t>R19 vented Post/Beam</t>
  </si>
  <si>
    <t>R22 vented Joist</t>
  </si>
  <si>
    <t>R22 vented Post/Beam</t>
  </si>
  <si>
    <t>R25 vented Joist</t>
  </si>
  <si>
    <t>R25 vented Post/Beam</t>
  </si>
  <si>
    <t>R30 vented Joist</t>
  </si>
  <si>
    <t>R30 vented Post/Beam</t>
  </si>
  <si>
    <t>R38 vented Joist</t>
  </si>
  <si>
    <t>R38 vented Post/Beam</t>
  </si>
  <si>
    <t>R11 perim vented Joist</t>
  </si>
  <si>
    <t>R11 perim vented Post/Beam</t>
  </si>
  <si>
    <t>R19 perim vented Joist</t>
  </si>
  <si>
    <t>R19 perim vented Post/Beam</t>
  </si>
  <si>
    <t>R30 perim vented Joist</t>
  </si>
  <si>
    <t>R30 perim vented Post/Beam</t>
  </si>
  <si>
    <t>R11 + R11 perim vented Joist</t>
  </si>
  <si>
    <t>R11 + R11 perim vented Post/Beam</t>
  </si>
  <si>
    <t>R19 + R11 perim vented Joist</t>
  </si>
  <si>
    <t>R19 + R11 perim vented Post/Beam</t>
  </si>
  <si>
    <t>R22 + R11 perim vented Joist</t>
  </si>
  <si>
    <t>R22 + R11 perim vented Post/Beam</t>
  </si>
  <si>
    <t>R25 + R11 perim vented Joist</t>
  </si>
  <si>
    <t>R25 + R11 perim vented Post/Beam</t>
  </si>
  <si>
    <t>R30 + R11 perim vented Joist</t>
  </si>
  <si>
    <t>R30 + R11 perim vented Post/Beam</t>
  </si>
  <si>
    <t>R38 + R11 perim vented Joist</t>
  </si>
  <si>
    <t>R38 + R11 perim vented Post/Beam</t>
  </si>
  <si>
    <t>R48 vented Joist</t>
  </si>
  <si>
    <r>
      <t xml:space="preserve">However, it will not work if you open the calculator within Microsoft Edge.  </t>
    </r>
    <r>
      <rPr>
        <b/>
        <sz val="11"/>
        <color indexed="8"/>
        <rFont val="Calibri"/>
        <family val="2"/>
      </rPr>
      <t>Save the file to your local drive.</t>
    </r>
  </si>
  <si>
    <t>Here is a screenshot of Microsoft's instructions for modifying the file properties.</t>
  </si>
  <si>
    <t>Enabling macros requires that you change the properties of the file to unblock macros.   Follow the instructions in the link that comes up when you try to open the file.</t>
  </si>
  <si>
    <t>https://www.adicotengineering.com/eer-seer2-cop-hspf2-kwton-converter</t>
  </si>
  <si>
    <t>EER SEER2 COP HSPF2 Converter</t>
  </si>
  <si>
    <t>Addition / Remodel / Alteration</t>
  </si>
  <si>
    <t>R-value Alternative / Prescriptive Path (Tables 406.2 &amp; 406.3 Only)</t>
  </si>
  <si>
    <t>User-Defined Baseline (Addition/Remodel/Alteration of Existing)</t>
  </si>
  <si>
    <t>Option 1 selections.  Is there a maximum glazing percent in the baseline per Section R402.1.5</t>
  </si>
  <si>
    <t xml:space="preserve">Selection: </t>
  </si>
  <si>
    <t>Is maximum glazing percent in baseline?</t>
  </si>
  <si>
    <t>Is exempt area in code version?</t>
  </si>
  <si>
    <t>Is UA percent trade off selected</t>
  </si>
  <si>
    <t xml:space="preserve">Is exempt door and window area allowed? </t>
  </si>
  <si>
    <t>3/19/2024 change: Exempt doors and windows are not allowed if Option 1 % UA reduction is selected because Option 1 refers to Section on Total UA Alternative.  Even Option 1 UA trade offs should follow rules of Total UA Alternative</t>
  </si>
  <si>
    <t>If Options 1.2, 1.3 or 1.4 there are two additional baseline requirements to meet compliance based on Section 402.1.5 "Total UA Alternative": (1) The maximum vertical glazing percent in the baseline is 15% of the floor area. (2)  Exempt window and door areas.are not allowed.  Otherwise, the baseline does not have a maximum glazing percent and exempt window and door areas are allowed</t>
  </si>
  <si>
    <t>Both 2018 and 2021 WSEC-R have a Prescriptive Path.  In 2021 WSEC-R it is referred to as the "R-value Alternative"</t>
  </si>
  <si>
    <r>
      <rPr>
        <b/>
        <sz val="10"/>
        <rFont val="Arial"/>
        <family val="2"/>
      </rPr>
      <t>Prescriptive Path / R-value Alternative:</t>
    </r>
    <r>
      <rPr>
        <sz val="10"/>
        <rFont val="Arial"/>
        <family val="2"/>
      </rPr>
      <t xml:space="preserve"> The simplest approach that allows for unlimited glazing in most cases. Refer to insulation minimum R-values and fenestration requirements by component in table R402.1.3 in 2021 WSEC-R and Table R402.1.1 in 2018 WSEC-R.  This path requires compliance with R406 fuel normalization and energy credits, following the prescriptive descriptions of insulation requirements in Option 1 of Table 406.3.  </t>
    </r>
  </si>
  <si>
    <t xml:space="preserve"> If you select this path, you do not need to enter details of your proposed design in this calculator.  Simply select the your Heating System Type and selection Energy Options to meet the required total credits required, per Section R406.  Instead of this calculator, you may use the PDF worksheets available from our website.  Select the single family worksheet for single family, townhomes and additions. Use the multifamily R2 worksheet for low rise multi-family corridor or non-corridor buildings up to three stories. </t>
  </si>
  <si>
    <t>Both 2018 and 2021 WSEC-R have the following compliance paths:</t>
  </si>
  <si>
    <t>The 2021 WSEC-R introduces the U-factor compliance path:</t>
  </si>
  <si>
    <r>
      <rPr>
        <b/>
        <sz val="10"/>
        <rFont val="Arial"/>
        <family val="2"/>
      </rPr>
      <t xml:space="preserve">Total UA Alternative Path: </t>
    </r>
    <r>
      <rPr>
        <sz val="10"/>
        <rFont val="Arial"/>
        <family val="2"/>
      </rPr>
      <t xml:space="preserve">In this approach, calculations of the UA value are based on the home’s proposed design and are compared to the code baseline of the same home with insulation values as summarized in Table R402.1.1.  This path requires compliance with R406 fuel normalization and energy credits, using the percent UA reduction values specified in Option 1 in Table R406.3.   This Code Compliance Calculator has been developed to assist you with the UA analysis required by this pathway. </t>
    </r>
  </si>
  <si>
    <t>Under this path, the maximum vertical glazing percent in the baseline is 15% of the floor area. Also, exempt window and door areas.are not allowed.</t>
  </si>
  <si>
    <r>
      <rPr>
        <b/>
        <sz val="10"/>
        <rFont val="Arial"/>
        <family val="2"/>
      </rPr>
      <t>U-factor compliance path:</t>
    </r>
    <r>
      <rPr>
        <sz val="10"/>
        <rFont val="Arial"/>
        <family val="2"/>
      </rPr>
      <t xml:space="preserve"> In this appraoched dubbed the "U-factor compliance path" defined in Section R402.1.2 "Insulation and fenestration criteria", calculations of the UA value are based on the home’s proposed design and are compared to the code baseline of the same home with the thermal envelope meeting the U-factors summarized in Table R402.1.2.   This Code Compliance Calculator has been developed to assist you with the UA analysis required by this pathway. </t>
    </r>
  </si>
  <si>
    <t>This path is defined in Section R402.1.4 in 2018 WSEC-R and Section R402.1.5 in 2021 WSEC-R</t>
  </si>
  <si>
    <t xml:space="preserve">Select one of the three uses of this tool from the drop down. </t>
  </si>
  <si>
    <r>
      <rPr>
        <b/>
        <sz val="10"/>
        <rFont val="Arial"/>
        <family val="2"/>
      </rPr>
      <t xml:space="preserve">U-Factor Compliance Path / Total UA Alternative </t>
    </r>
    <r>
      <rPr>
        <sz val="10"/>
        <rFont val="Arial"/>
        <family val="2"/>
      </rPr>
      <t>- Select this option, if you are using percent reductions in Total conductive UA specified in Table 406.3 to achieve Option 1 Efficient Building Envelope credits.  Your design is compared to the code targets summarized in Table R402.1.1.   Your design is compared to the code targets summarized in Table R402.1.1 in 2018 WSEC-R or Table R402.1.2 in 2021 WSEC-R.   In calcualtion the Percent UA Reduction for Option 1, the maximum baseline window area for comparison is 15% of the floor area.  Exempt wall and window areas are not included, so these input areas hide.</t>
    </r>
  </si>
  <si>
    <t>2021 U-factor Baseline (Table R402.1.2)</t>
  </si>
  <si>
    <t>Table R402.1.2</t>
  </si>
  <si>
    <t>This tool is compatible with Office 365  -- How to unblock macros</t>
  </si>
  <si>
    <t>R3 Single family dwellings and townhouses</t>
  </si>
  <si>
    <t>Exclude any option that does not reference Section R402.1.5</t>
  </si>
  <si>
    <t>Messages / Comments *</t>
  </si>
  <si>
    <t>Round to the whole percentage point for comparison with target</t>
  </si>
  <si>
    <t>RESULTS - Comparison of Baseline and Proposed Design **</t>
  </si>
  <si>
    <t xml:space="preserve">** Results assume your inputs are complete and correct.  Results do not constitute an approval.  Analysis should be reviewed by your AHJ.  </t>
  </si>
  <si>
    <t>Message at Option 1</t>
  </si>
  <si>
    <t>No credits required. Exempt window and door areas ok.</t>
  </si>
  <si>
    <t>Floor area (entered below) and project type determine classification.  No UA calc required.</t>
  </si>
  <si>
    <t>For non-dwelling unit, show exempt areas?</t>
  </si>
  <si>
    <t xml:space="preserve">A second method is to change the properties of each file to unblock their macros.  This is more tedious because you have to do it every time you download a new version. </t>
  </si>
  <si>
    <t xml:space="preserve">This tool is compatible with Office 365 </t>
  </si>
  <si>
    <r>
      <t xml:space="preserve">This tool is compatible with Office 365.  However, it will not work if you open the calculator within Microsoft Edge.  </t>
    </r>
    <r>
      <rPr>
        <b/>
        <sz val="11"/>
        <color indexed="8"/>
        <rFont val="Calibri"/>
        <family val="2"/>
      </rPr>
      <t xml:space="preserve">Save the file to your local drive. </t>
    </r>
  </si>
  <si>
    <t xml:space="preserve">You also need to unblock macros, which Microsoft has made more more difficult in Office 365. </t>
  </si>
  <si>
    <r>
      <t xml:space="preserve">There are two methods to unblock macros.  We recommend you add a trusted Windows Explorer folder within Excel.  Then if you open an Excel worksheet that you have saved to a trusted folder, it will automatically open with macros enabled.  You only need to do this once, so it is the easiest method to follow.   </t>
    </r>
    <r>
      <rPr>
        <b/>
        <sz val="11"/>
        <color indexed="8"/>
        <rFont val="Calibri"/>
        <family val="2"/>
      </rPr>
      <t xml:space="preserve">It is very important if you do this that you you only save files you trust to your trusted location. </t>
    </r>
  </si>
  <si>
    <t>Adding a trusted Windows Explorer folder</t>
  </si>
  <si>
    <t>Modifying the properties of a file to unblock macros</t>
  </si>
  <si>
    <t>Office 365 Users:  Save this file to your LOCAL drive.  To unblock macros, follow the instructions on the Unblocking Macros tab.</t>
  </si>
  <si>
    <t>Calculator tabs will open when macros are enabled and you click button to Accept Terms.</t>
  </si>
  <si>
    <t>U-Factor Compliance Path</t>
  </si>
  <si>
    <t>Maximum baseline window area is 15% of floor area.</t>
  </si>
  <si>
    <t>No exempt window or door areas</t>
  </si>
  <si>
    <t>Medium dwelling unit message for SF&lt;1500</t>
  </si>
  <si>
    <t>Selected Pass/Fail</t>
  </si>
  <si>
    <t>Required Credits Met</t>
  </si>
  <si>
    <t>Protected</t>
  </si>
  <si>
    <t>Calculator tabs will open after macros are enabled and terms of use are accepted.</t>
  </si>
  <si>
    <t>Office 365 Users:  Save this file to your LOCAL drive.</t>
  </si>
  <si>
    <t>Average ceiling height</t>
  </si>
  <si>
    <t>ft</t>
  </si>
  <si>
    <t>(C) 2025</t>
  </si>
  <si>
    <t>Sum of Net Area and UA</t>
  </si>
  <si>
    <t>Gross Wall Area</t>
  </si>
  <si>
    <r>
      <t>ft</t>
    </r>
    <r>
      <rPr>
        <vertAlign val="superscript"/>
        <sz val="10"/>
        <rFont val="Arial"/>
        <family val="2"/>
      </rPr>
      <t>2</t>
    </r>
  </si>
  <si>
    <t>https://sbcc.wa.gov/state-codes-regulations-guidelines/state-building-code/energy-code</t>
  </si>
  <si>
    <r>
      <t xml:space="preserve">== Custom Entries per WSEC R402.1.5 U-factor Reference and Calculations ======== </t>
    </r>
    <r>
      <rPr>
        <b/>
        <sz val="10"/>
        <rFont val="Arial"/>
        <family val="2"/>
      </rPr>
      <t xml:space="preserve"> </t>
    </r>
  </si>
  <si>
    <t>Your entries appear at bottom of drowdown menus on "Group R" tab</t>
  </si>
  <si>
    <t>R3 Single Family</t>
  </si>
  <si>
    <t>Area Weighted U-Value</t>
  </si>
  <si>
    <t>Weighted U- and F-values</t>
  </si>
  <si>
    <t>U-Factor path test</t>
  </si>
  <si>
    <t>Option 1 Target UA Pass/Fail</t>
  </si>
  <si>
    <t>Option 1.1 Window PASS/FAIL</t>
  </si>
  <si>
    <t xml:space="preserve">Determine PASS/FAIL </t>
  </si>
  <si>
    <t>Option 1.1 Window Pass/Fail</t>
  </si>
  <si>
    <t xml:space="preserve">Option 1.1 Window U max </t>
  </si>
  <si>
    <t>Message 1</t>
  </si>
  <si>
    <t>Message 2</t>
  </si>
  <si>
    <t>Selected Message in results</t>
  </si>
  <si>
    <t>Target UA</t>
  </si>
  <si>
    <t>Test</t>
  </si>
  <si>
    <t>Baseline Pass/Fail - Does envelope meet baseline</t>
  </si>
  <si>
    <t>Non-Dwelling Unit (Total UA)</t>
  </si>
  <si>
    <t>Baseline Design</t>
  </si>
  <si>
    <t>S front door</t>
  </si>
  <si>
    <t>N patio door</t>
  </si>
  <si>
    <t>W garage door</t>
  </si>
  <si>
    <t>N down</t>
  </si>
  <si>
    <t>E down</t>
  </si>
  <si>
    <t>S down</t>
  </si>
  <si>
    <t>W up</t>
  </si>
  <si>
    <t xml:space="preserve">Flat </t>
  </si>
  <si>
    <t>Down 8.5 ceiling</t>
  </si>
  <si>
    <t>Up 8.5' ceiling</t>
  </si>
  <si>
    <t>2100 sq. ft. single family medium dwelling unit</t>
  </si>
  <si>
    <r>
      <t xml:space="preserve">Air Source </t>
    </r>
    <r>
      <rPr>
        <sz val="10"/>
        <color rgb="FFFF0000"/>
        <rFont val="Arial"/>
        <family val="2"/>
      </rPr>
      <t>centrally ducted Heat Pump</t>
    </r>
    <r>
      <rPr>
        <sz val="10"/>
        <rFont val="Arial"/>
        <family val="2"/>
      </rPr>
      <t xml:space="preserve">  Min HSPF2 of 8.1 (HSPF of 9.5), </t>
    </r>
    <r>
      <rPr>
        <sz val="10"/>
        <color rgb="FFFF0000"/>
        <rFont val="Arial"/>
        <family val="2"/>
      </rPr>
      <t>in areas where winter design temp. is 23</t>
    </r>
    <r>
      <rPr>
        <sz val="10"/>
        <color rgb="FFFF0000"/>
        <rFont val="Calibri"/>
        <family val="2"/>
      </rPr>
      <t>°</t>
    </r>
    <r>
      <rPr>
        <sz val="10"/>
        <color rgb="FFFF0000"/>
        <rFont val="Arial"/>
        <family val="2"/>
      </rPr>
      <t xml:space="preserve"> F or less, a NEEP or ASHP cold climate unit shall be installed.</t>
    </r>
  </si>
  <si>
    <t xml:space="preserve">ISteelWE 2gl 6% 22x8" 1/4" </t>
  </si>
  <si>
    <t xml:space="preserve">ISteelWE 2gl 25% 22x8" 1/4" </t>
  </si>
  <si>
    <t xml:space="preserve">ISteelWE 2gl 6% 22x8" 1/2" </t>
  </si>
  <si>
    <t xml:space="preserve">ISteelWE 2gl 6% 22x8" 1/2" LowE.1 Ar </t>
  </si>
  <si>
    <t>ISteelWE2gl 45% 22x64" 1/2" LowE .1 Ar</t>
  </si>
  <si>
    <t>WoodSWF 1gl 25% 22x36"</t>
  </si>
  <si>
    <t xml:space="preserve">WoodSWF 1gl 45% 22x64" </t>
  </si>
  <si>
    <t xml:space="preserve">WoodSWF 2gl 6% 22x8" 1/4" </t>
  </si>
  <si>
    <t xml:space="preserve">WoodSWF 2gl 25% 22x8" 1/4" </t>
  </si>
  <si>
    <t xml:space="preserve">WoodSWF 2gl 45% 22x8" 1/4" </t>
  </si>
  <si>
    <t xml:space="preserve">WoodSWF 2gl 6% 22x8" 1/2" </t>
  </si>
  <si>
    <t xml:space="preserve">WoodSWF 2gl 25% 22x8" 1/2" </t>
  </si>
  <si>
    <t xml:space="preserve">WoodSWF 2gl 45% 22x8" 1/2" </t>
  </si>
  <si>
    <t xml:space="preserve">WoodSWF 2gl 6% 22x8" 1/2" LowE.1 Ar </t>
  </si>
  <si>
    <t xml:space="preserve">WoodSWF2gl 25% 22x36" 1/2" LowE .1 Ar  </t>
  </si>
  <si>
    <t>WoodSWF2gl 45% 22x64" 1/2" LowE .1 Ar</t>
  </si>
  <si>
    <t xml:space="preserve">ISteelWE 1gl 6% 22x8"  </t>
  </si>
  <si>
    <t>ISteelWE 1gl 25% 22x36"</t>
  </si>
  <si>
    <t>ISteelWE 1gl 45% 22x64"</t>
  </si>
  <si>
    <t xml:space="preserve">ISteelWE 2gl 45% 22x8" 1/4" </t>
  </si>
  <si>
    <t xml:space="preserve">ISteelWE 2gl 25% 22x8" 1/2" </t>
  </si>
  <si>
    <t xml:space="preserve">ISteelWE 2gl 45% 22x8" 1/2" </t>
  </si>
  <si>
    <t xml:space="preserve">ISteelWE2gl 25% 22x36" 1/2" LowE .1 Ar  </t>
  </si>
  <si>
    <t>ISteel,SEdge,SFrame 1gl 6% 22x8"</t>
  </si>
  <si>
    <t>ISteel,SEdge,SFrame 1gl 25% 22x36"</t>
  </si>
  <si>
    <t>ISteel,SEdge,SFrame 1gl 45% 22x64"</t>
  </si>
  <si>
    <t>ISteel,SEdge,SFrame 2gl 6% 22x8"  1/4"</t>
  </si>
  <si>
    <t xml:space="preserve">ISteel,SEdge,SFrame 2gl 25% 22x36" 1/4" </t>
  </si>
  <si>
    <t xml:space="preserve">ISteel,SEdge,SFrame 2gl 45% 22x64" 1/4" </t>
  </si>
  <si>
    <t xml:space="preserve">ISteel,SEdge,SFrame 2gl 6% 22x8" 1/2" </t>
  </si>
  <si>
    <t xml:space="preserve">ISteel,SEdge,SFrame 2gl 45% 22x64"  1/2" </t>
  </si>
  <si>
    <t>ISteel,SEdge,SFrame 2gl 6% 22x8" 1/2" LowE.1 Ar</t>
  </si>
  <si>
    <t>ISteel,SEdge,SFrame 2gl 25% 22x36" 1/2" LowE .1 Ar</t>
  </si>
  <si>
    <t>ISteel,SEdge,SFrame 2gl 45% 22x64" 1/2" LowE .1 Ar</t>
  </si>
  <si>
    <t xml:space="preserve">ISteel,SEdge,SFrame 2gl 25% 22x36"  1/2" </t>
  </si>
  <si>
    <r>
      <rPr>
        <sz val="10"/>
        <color rgb="FFFF0000"/>
        <rFont val="Arial"/>
        <family val="2"/>
      </rPr>
      <t>Air source ducted</t>
    </r>
    <r>
      <rPr>
        <sz val="10"/>
        <rFont val="Arial"/>
        <family val="2"/>
      </rPr>
      <t xml:space="preserve"> Heat Pump </t>
    </r>
    <r>
      <rPr>
        <sz val="10"/>
        <color rgb="FFFF0000"/>
        <rFont val="Arial"/>
        <family val="2"/>
      </rPr>
      <t>w/</t>
    </r>
    <r>
      <rPr>
        <sz val="10"/>
        <rFont val="Arial"/>
        <family val="2"/>
      </rPr>
      <t xml:space="preserve"> </t>
    </r>
    <r>
      <rPr>
        <sz val="10"/>
        <color rgb="FFFF0000"/>
        <rFont val="Arial"/>
        <family val="2"/>
      </rPr>
      <t>M</t>
    </r>
    <r>
      <rPr>
        <sz val="10"/>
        <rFont val="Arial"/>
        <family val="2"/>
      </rPr>
      <t xml:space="preserve">in HSPF2 of 9.4 </t>
    </r>
    <r>
      <rPr>
        <sz val="10"/>
        <color rgb="FF0070C0"/>
        <rFont val="Arial"/>
        <family val="2"/>
      </rPr>
      <t>(HSPF of 11</t>
    </r>
    <r>
      <rPr>
        <sz val="10"/>
        <color rgb="FF00B050"/>
        <rFont val="Arial"/>
        <family val="2"/>
      </rPr>
      <t>)</t>
    </r>
    <r>
      <rPr>
        <sz val="10"/>
        <rFont val="Arial"/>
        <family val="2"/>
      </rPr>
      <t>.  A ducted cold climate variable capacity heat pump on the NEEP qualified product list with a min HSPF2 of 8.5 (HSPF of 10) may be used to satisfy this requirement.  If htg design temp is 23F or below</t>
    </r>
    <r>
      <rPr>
        <sz val="10"/>
        <color rgb="FFFF0000"/>
        <rFont val="Arial"/>
        <family val="2"/>
      </rPr>
      <t>,a</t>
    </r>
    <r>
      <rPr>
        <sz val="10"/>
        <rFont val="Arial"/>
        <family val="2"/>
      </rPr>
      <t xml:space="preserve"> cold climate variable capacity heat pump is required.</t>
    </r>
  </si>
  <si>
    <t>Version: WSU_C32021_20251021~Master.xlsm, 10/21/2025 6:51:12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</si>
</sst>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0.00_);_(&quot;$&quot;* \(#,##0.00\);_(&quot;$&quot;* &quot;-&quot;??_);_(@_)"/>
    <numFmt numFmtId="43" formatCode="_(* #,##0.00_);_(* \(#,##0.00\);_(* &quot;-&quot;??_);_(@_)"/>
    <numFmt numFmtId="164" formatCode="0.0000"/>
    <numFmt numFmtId="165" formatCode="0.000"/>
    <numFmt numFmtId="166" formatCode="0.0"/>
    <numFmt numFmtId="167" formatCode="#,##0.0"/>
    <numFmt numFmtId="168" formatCode="_(* #,##0_);_(* \(#,##0\);_(* &quot;-&quot;??_);_(@_)"/>
    <numFmt numFmtId="169" formatCode="[$-409]m/d/yy\ h:mm\ AM/PM;@"/>
    <numFmt numFmtId="170" formatCode="0.0%"/>
    <numFmt numFmtId="171" formatCode="_(* #,##0.000_);_(* \(#,##0.000\);_(* &quot;-&quot;??_);_(@_)"/>
    <numFmt numFmtId="172" formatCode="_(* #,##0.0_);_(* \(#,##0.0\);_(* &quot;-&quot;??_);_(@_)"/>
    <numFmt numFmtId="173" formatCode="mm/dd/yy;@"/>
  </numFmts>
  <fonts count="12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vertAlign val="superscript"/>
      <sz val="10"/>
      <name val="Arial"/>
      <family val="2"/>
    </font>
    <font>
      <sz val="10"/>
      <name val="Arial"/>
      <family val="2"/>
    </font>
    <font>
      <b/>
      <i/>
      <sz val="10"/>
      <name val="Arial"/>
      <family val="2"/>
    </font>
    <font>
      <u/>
      <sz val="10"/>
      <color indexed="12"/>
      <name val="Arial"/>
      <family val="2"/>
    </font>
    <font>
      <b/>
      <sz val="10"/>
      <name val="Symbol"/>
      <family val="1"/>
      <charset val="2"/>
    </font>
    <font>
      <b/>
      <sz val="12"/>
      <name val="Arial"/>
      <family val="2"/>
    </font>
    <font>
      <b/>
      <i/>
      <u/>
      <sz val="10"/>
      <name val="Arial"/>
      <family val="2"/>
    </font>
    <font>
      <b/>
      <sz val="10"/>
      <color indexed="10"/>
      <name val="Arial"/>
      <family val="2"/>
    </font>
    <font>
      <u/>
      <sz val="10"/>
      <name val="Arial"/>
      <family val="2"/>
    </font>
    <font>
      <u/>
      <sz val="10"/>
      <color indexed="12"/>
      <name val="Arial"/>
      <family val="2"/>
    </font>
    <font>
      <sz val="12"/>
      <name val="Arial"/>
      <family val="2"/>
    </font>
    <font>
      <sz val="8"/>
      <name val="Arial"/>
      <family val="2"/>
    </font>
    <font>
      <sz val="9"/>
      <color indexed="81"/>
      <name val="Tahoma"/>
      <family val="2"/>
    </font>
    <font>
      <b/>
      <i/>
      <sz val="10"/>
      <color rgb="FFFF0000"/>
      <name val="Arial"/>
      <family val="2"/>
    </font>
    <font>
      <b/>
      <sz val="14"/>
      <name val="Arial"/>
      <family val="2"/>
    </font>
    <font>
      <sz val="14"/>
      <name val="Arial"/>
      <family val="2"/>
    </font>
    <font>
      <b/>
      <sz val="14"/>
      <name val="Times New Roman"/>
      <family val="1"/>
    </font>
    <font>
      <sz val="14"/>
      <name val="Times New Roman"/>
      <family val="1"/>
    </font>
    <font>
      <i/>
      <sz val="14"/>
      <name val="Times New Roman"/>
      <family val="1"/>
    </font>
    <font>
      <sz val="14"/>
      <name val="Courier"/>
      <family val="3"/>
    </font>
    <font>
      <b/>
      <sz val="12"/>
      <name val="Times New Roman"/>
      <family val="1"/>
    </font>
    <font>
      <sz val="12"/>
      <name val="Times New Roman"/>
      <family val="1"/>
    </font>
    <font>
      <i/>
      <sz val="12"/>
      <name val="Times New Roman"/>
      <family val="1"/>
    </font>
    <font>
      <vertAlign val="superscript"/>
      <sz val="12"/>
      <name val="Times New Roman"/>
      <family val="1"/>
    </font>
    <font>
      <u/>
      <sz val="14"/>
      <name val="Times New Roman"/>
      <family val="1"/>
    </font>
    <font>
      <sz val="10"/>
      <name val="Arial"/>
      <family val="2"/>
    </font>
    <font>
      <b/>
      <sz val="10"/>
      <color theme="9" tint="-0.499984740745262"/>
      <name val="Arial"/>
      <family val="2"/>
    </font>
    <font>
      <sz val="10"/>
      <name val="Arial"/>
      <family val="2"/>
    </font>
    <font>
      <sz val="10"/>
      <color rgb="FFFF0000"/>
      <name val="Arial"/>
      <family val="2"/>
    </font>
    <font>
      <b/>
      <sz val="12"/>
      <color rgb="FF000000"/>
      <name val="Calibri"/>
      <family val="2"/>
    </font>
    <font>
      <b/>
      <sz val="11"/>
      <name val="Arial"/>
      <family val="2"/>
    </font>
    <font>
      <u/>
      <sz val="10"/>
      <color theme="10"/>
      <name val="Arial"/>
      <family val="2"/>
    </font>
    <font>
      <u/>
      <sz val="9"/>
      <color theme="10"/>
      <name val="Arial"/>
      <family val="2"/>
    </font>
    <font>
      <b/>
      <sz val="14"/>
      <color rgb="FF000000"/>
      <name val="Calibri"/>
      <family val="2"/>
    </font>
    <font>
      <b/>
      <sz val="18"/>
      <color theme="1"/>
      <name val="Arial Unicode MS"/>
      <family val="2"/>
    </font>
    <font>
      <sz val="16"/>
      <color theme="1"/>
      <name val="Calibri"/>
      <family val="2"/>
      <scheme val="minor"/>
    </font>
    <font>
      <u/>
      <sz val="11"/>
      <color theme="10"/>
      <name val="Calibri"/>
      <family val="2"/>
      <scheme val="minor"/>
    </font>
    <font>
      <u/>
      <sz val="16"/>
      <color theme="10"/>
      <name val="Calibri"/>
      <family val="2"/>
      <scheme val="minor"/>
    </font>
    <font>
      <b/>
      <sz val="16"/>
      <color theme="1"/>
      <name val="Calibri"/>
      <family val="2"/>
      <scheme val="minor"/>
    </font>
    <font>
      <b/>
      <sz val="10"/>
      <color theme="0" tint="-0.499984740745262"/>
      <name val="Arial"/>
      <family val="2"/>
    </font>
    <font>
      <sz val="10"/>
      <color theme="0" tint="-0.499984740745262"/>
      <name val="Arial"/>
      <family val="2"/>
    </font>
    <font>
      <b/>
      <sz val="10"/>
      <color theme="5"/>
      <name val="Arial"/>
      <family val="2"/>
    </font>
    <font>
      <strike/>
      <sz val="10"/>
      <name val="Arial"/>
      <family val="2"/>
    </font>
    <font>
      <b/>
      <vertAlign val="superscript"/>
      <sz val="10"/>
      <name val="Arial"/>
      <family val="2"/>
    </font>
    <font>
      <sz val="10"/>
      <name val="Arial"/>
      <family val="2"/>
    </font>
    <font>
      <i/>
      <sz val="10"/>
      <name val="Arial"/>
      <family val="2"/>
    </font>
    <font>
      <b/>
      <sz val="10"/>
      <color theme="7"/>
      <name val="Arial"/>
      <family val="2"/>
    </font>
    <font>
      <b/>
      <sz val="10"/>
      <color theme="0"/>
      <name val="Arial"/>
      <family val="2"/>
    </font>
    <font>
      <b/>
      <sz val="10"/>
      <name val="Calibri"/>
      <family val="2"/>
    </font>
    <font>
      <b/>
      <sz val="10"/>
      <color rgb="FFC00000"/>
      <name val="Arial"/>
      <family val="2"/>
    </font>
    <font>
      <sz val="10"/>
      <color rgb="FFC00000"/>
      <name val="Arial"/>
      <family val="2"/>
    </font>
    <font>
      <b/>
      <sz val="10"/>
      <color rgb="FF000000"/>
      <name val="Arial"/>
      <family val="2"/>
    </font>
    <font>
      <sz val="10"/>
      <color theme="1"/>
      <name val="Arial"/>
      <family val="2"/>
    </font>
    <font>
      <sz val="11"/>
      <name val="Arial"/>
      <family val="2"/>
    </font>
    <font>
      <b/>
      <sz val="10"/>
      <color theme="2" tint="-0.249977111117893"/>
      <name val="Arial"/>
      <family val="2"/>
    </font>
    <font>
      <b/>
      <strike/>
      <sz val="11"/>
      <name val="Arial"/>
      <family val="2"/>
    </font>
    <font>
      <sz val="10"/>
      <color theme="2" tint="-0.249977111117893"/>
      <name val="Arial"/>
      <family val="2"/>
    </font>
    <font>
      <sz val="10"/>
      <color theme="2" tint="-0.499984740745262"/>
      <name val="Arial"/>
      <family val="2"/>
    </font>
    <font>
      <b/>
      <sz val="16"/>
      <name val="Arial"/>
      <family val="2"/>
    </font>
    <font>
      <sz val="8"/>
      <color theme="1"/>
      <name val="Consolas"/>
      <family val="3"/>
    </font>
    <font>
      <sz val="9"/>
      <name val="Arial"/>
      <family val="2"/>
    </font>
    <font>
      <b/>
      <sz val="11"/>
      <color rgb="FFC00000"/>
      <name val="Arial"/>
      <family val="2"/>
    </font>
    <font>
      <b/>
      <i/>
      <sz val="14"/>
      <color rgb="FFC00000"/>
      <name val="Arial"/>
      <family val="2"/>
    </font>
    <font>
      <b/>
      <sz val="9"/>
      <color theme="5"/>
      <name val="Arial"/>
      <family val="2"/>
    </font>
    <font>
      <b/>
      <sz val="9"/>
      <name val="Arial"/>
      <family val="2"/>
    </font>
    <font>
      <b/>
      <sz val="9"/>
      <color theme="0" tint="-4.9989318521683403E-2"/>
      <name val="Arial"/>
      <family val="2"/>
    </font>
    <font>
      <b/>
      <sz val="9"/>
      <color theme="0"/>
      <name val="Arial"/>
      <family val="2"/>
    </font>
    <font>
      <sz val="8.5"/>
      <name val="Times New Roman"/>
      <family val="1"/>
    </font>
    <font>
      <b/>
      <sz val="22"/>
      <color theme="1"/>
      <name val="Calibri"/>
      <family val="2"/>
      <scheme val="minor"/>
    </font>
    <font>
      <b/>
      <sz val="12"/>
      <color rgb="FFFF0000"/>
      <name val="Arial"/>
      <family val="2"/>
    </font>
    <font>
      <b/>
      <sz val="18"/>
      <color theme="4"/>
      <name val="Calibri"/>
      <family val="2"/>
      <scheme val="minor"/>
    </font>
    <font>
      <b/>
      <i/>
      <sz val="14"/>
      <color rgb="FFC00000"/>
      <name val="Calibri"/>
      <family val="2"/>
      <scheme val="minor"/>
    </font>
    <font>
      <b/>
      <u/>
      <sz val="10"/>
      <name val="Arial"/>
      <family val="2"/>
    </font>
    <font>
      <b/>
      <sz val="12"/>
      <color theme="1"/>
      <name val="Calibri"/>
      <family val="2"/>
      <scheme val="minor"/>
    </font>
    <font>
      <sz val="11"/>
      <color indexed="8"/>
      <name val="Calibri"/>
      <family val="2"/>
    </font>
    <font>
      <b/>
      <sz val="20"/>
      <color theme="1"/>
      <name val="Calibri"/>
      <family val="2"/>
      <scheme val="minor"/>
    </font>
    <font>
      <u/>
      <sz val="11"/>
      <color indexed="12"/>
      <name val="Calibri"/>
      <family val="2"/>
    </font>
    <font>
      <sz val="12"/>
      <color theme="1"/>
      <name val="Calibri"/>
      <family val="2"/>
      <scheme val="minor"/>
    </font>
    <font>
      <b/>
      <sz val="12"/>
      <color rgb="FFFF0000"/>
      <name val="Calibri"/>
      <family val="2"/>
      <scheme val="minor"/>
    </font>
    <font>
      <b/>
      <sz val="12"/>
      <color indexed="8"/>
      <name val="Calibri"/>
      <family val="2"/>
    </font>
    <font>
      <b/>
      <sz val="11"/>
      <color indexed="8"/>
      <name val="Calibri"/>
      <family val="2"/>
    </font>
    <font>
      <sz val="11"/>
      <name val="Calibri"/>
      <family val="2"/>
    </font>
    <font>
      <b/>
      <sz val="11"/>
      <color theme="1"/>
      <name val="Calibri"/>
      <family val="2"/>
      <scheme val="minor"/>
    </font>
    <font>
      <vertAlign val="superscript"/>
      <sz val="11"/>
      <name val="Arial"/>
      <family val="2"/>
    </font>
    <font>
      <b/>
      <sz val="11"/>
      <color rgb="FF000000"/>
      <name val="Arial"/>
      <family val="2"/>
    </font>
    <font>
      <sz val="10"/>
      <color indexed="8"/>
      <name val="Arial"/>
      <family val="2"/>
    </font>
    <font>
      <b/>
      <sz val="10"/>
      <color indexed="8"/>
      <name val="Arial"/>
      <family val="2"/>
    </font>
    <font>
      <i/>
      <sz val="10"/>
      <color indexed="8"/>
      <name val="Arial"/>
      <family val="2"/>
    </font>
    <font>
      <b/>
      <sz val="9"/>
      <color indexed="81"/>
      <name val="Tahoma"/>
      <family val="2"/>
    </font>
    <font>
      <sz val="11"/>
      <color theme="1"/>
      <name val="Consolas"/>
      <family val="3"/>
    </font>
    <font>
      <sz val="11"/>
      <name val="Consolas"/>
      <family val="3"/>
    </font>
    <font>
      <sz val="11"/>
      <color rgb="FFFF0000"/>
      <name val="Consolas"/>
      <family val="3"/>
    </font>
    <font>
      <sz val="9"/>
      <color theme="1"/>
      <name val="Consolas"/>
      <family val="3"/>
    </font>
    <font>
      <sz val="9"/>
      <name val="Consolas"/>
      <family val="3"/>
    </font>
    <font>
      <sz val="8"/>
      <color rgb="FFFF0000"/>
      <name val="Consolas"/>
      <family val="3"/>
    </font>
    <font>
      <sz val="8"/>
      <name val="Consolas"/>
      <family val="3"/>
    </font>
    <font>
      <b/>
      <sz val="10"/>
      <color rgb="FFFF0000"/>
      <name val="Arial"/>
      <family val="2"/>
    </font>
    <font>
      <sz val="12"/>
      <color theme="5"/>
      <name val="Arial"/>
      <family val="2"/>
    </font>
    <font>
      <b/>
      <sz val="11"/>
      <color rgb="FFFF0000"/>
      <name val="Arial"/>
      <family val="2"/>
    </font>
    <font>
      <sz val="10"/>
      <color rgb="FFFF0000"/>
      <name val="Calibri"/>
      <family val="2"/>
    </font>
    <font>
      <sz val="10"/>
      <color rgb="FF0070C0"/>
      <name val="Arial"/>
      <family val="2"/>
    </font>
    <font>
      <sz val="10"/>
      <color rgb="FF00B050"/>
      <name val="Arial"/>
      <family val="2"/>
    </font>
    <font>
      <sz val="9"/>
      <color rgb="FFFF0000"/>
      <name val="Arial"/>
      <family val="2"/>
    </font>
    <font>
      <b/>
      <sz val="11"/>
      <color theme="5"/>
      <name val="Arial"/>
      <family val="2"/>
    </font>
    <font>
      <b/>
      <i/>
      <sz val="16"/>
      <color rgb="FFC00000"/>
      <name val="Calibri"/>
      <family val="2"/>
      <scheme val="minor"/>
    </font>
    <font>
      <b/>
      <i/>
      <sz val="16"/>
      <color rgb="FFC00000"/>
      <name val="Calibri"/>
      <family val="2"/>
    </font>
    <font>
      <b/>
      <u/>
      <sz val="12"/>
      <color rgb="FF0000FF"/>
      <name val="Calibri"/>
      <family val="2"/>
    </font>
    <font>
      <b/>
      <u/>
      <sz val="11"/>
      <color rgb="FF0000FF"/>
      <name val="Arial"/>
      <family val="2"/>
    </font>
    <font>
      <sz val="12"/>
      <color theme="0" tint="-0.499984740745262"/>
      <name val="Arial"/>
      <family val="2"/>
    </font>
  </fonts>
  <fills count="10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gray0625">
        <fgColor indexed="46"/>
      </patternFill>
    </fill>
    <fill>
      <patternFill patternType="solid">
        <fgColor indexed="43"/>
        <bgColor indexed="64"/>
      </patternFill>
    </fill>
    <fill>
      <patternFill patternType="solid">
        <fgColor rgb="FFFFFFCC"/>
        <bgColor indexed="64"/>
      </patternFill>
    </fill>
    <fill>
      <patternFill patternType="gray0625">
        <fgColor indexed="46"/>
        <bgColor rgb="FFFFFFCC"/>
      </patternFill>
    </fill>
    <fill>
      <patternFill patternType="gray0625">
        <fgColor indexed="46"/>
        <bgColor theme="4" tint="0.59999389629810485"/>
      </patternFill>
    </fill>
    <fill>
      <patternFill patternType="solid">
        <fgColor rgb="FFFFC000"/>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39997558519241921"/>
        <bgColor indexed="64"/>
      </patternFill>
    </fill>
    <fill>
      <patternFill patternType="gray0625">
        <fgColor theme="0" tint="-0.14996795556505021"/>
        <bgColor rgb="FFCCDAEC"/>
      </patternFill>
    </fill>
    <fill>
      <patternFill patternType="gray0625">
        <fgColor indexed="46"/>
        <bgColor theme="9" tint="0.39997558519241921"/>
      </patternFill>
    </fill>
    <fill>
      <patternFill patternType="gray0625">
        <fgColor indexed="46"/>
        <bgColor theme="4" tint="0.79998168889431442"/>
      </patternFill>
    </fill>
    <fill>
      <patternFill patternType="gray0625">
        <fgColor indexed="46"/>
        <bgColor theme="0" tint="-0.14999847407452621"/>
      </patternFill>
    </fill>
    <fill>
      <patternFill patternType="gray0625">
        <fgColor indexed="46"/>
        <bgColor theme="3" tint="0.79998168889431442"/>
      </patternFill>
    </fill>
    <fill>
      <patternFill patternType="gray0625">
        <fgColor indexed="46"/>
        <bgColor theme="9" tint="0.79998168889431442"/>
      </patternFill>
    </fill>
    <fill>
      <patternFill patternType="solid">
        <fgColor indexed="65"/>
        <bgColor indexed="46"/>
      </patternFill>
    </fill>
    <fill>
      <patternFill patternType="solid">
        <fgColor theme="4" tint="0.59999389629810485"/>
        <bgColor indexed="46"/>
      </patternFill>
    </fill>
    <fill>
      <patternFill patternType="solid">
        <fgColor theme="4" tint="0.59999389629810485"/>
        <bgColor theme="0" tint="-0.14996795556505021"/>
      </patternFill>
    </fill>
    <fill>
      <patternFill patternType="solid">
        <fgColor indexed="65"/>
        <bgColor theme="0" tint="-0.14996795556505021"/>
      </patternFill>
    </fill>
    <fill>
      <patternFill patternType="solid">
        <fgColor rgb="FFFFFFCC"/>
        <bgColor indexed="46"/>
      </patternFill>
    </fill>
    <fill>
      <patternFill patternType="solid">
        <fgColor theme="0" tint="-0.14999847407452621"/>
        <bgColor indexed="46"/>
      </patternFill>
    </fill>
    <fill>
      <patternFill patternType="gray0625">
        <fgColor theme="0" tint="-0.14996795556505021"/>
        <bgColor indexed="65"/>
      </patternFill>
    </fill>
    <fill>
      <patternFill patternType="solid">
        <fgColor theme="9" tint="0.39997558519241921"/>
        <bgColor indexed="46"/>
      </patternFill>
    </fill>
    <fill>
      <patternFill patternType="solid">
        <fgColor theme="4" tint="0.79998168889431442"/>
        <bgColor theme="0" tint="-0.14996795556505021"/>
      </patternFill>
    </fill>
    <fill>
      <patternFill patternType="solid">
        <fgColor indexed="65"/>
        <bgColor auto="1"/>
      </patternFill>
    </fill>
    <fill>
      <patternFill patternType="gray0625">
        <fgColor indexed="46"/>
        <bgColor theme="0"/>
      </patternFill>
    </fill>
    <fill>
      <patternFill patternType="solid">
        <fgColor theme="6" tint="0.79998168889431442"/>
        <bgColor indexed="46"/>
      </patternFill>
    </fill>
    <fill>
      <patternFill patternType="gray0625">
        <fgColor theme="0" tint="-0.24994659260841701"/>
        <bgColor indexed="65"/>
      </patternFill>
    </fill>
    <fill>
      <patternFill patternType="gray0625">
        <fgColor theme="2" tint="-0.24994659260841701"/>
        <bgColor theme="0"/>
      </patternFill>
    </fill>
    <fill>
      <patternFill patternType="gray0625">
        <fgColor theme="0" tint="-0.24994659260841701"/>
        <bgColor indexed="43"/>
      </patternFill>
    </fill>
    <fill>
      <patternFill patternType="solid">
        <fgColor theme="3" tint="0.59999389629810485"/>
        <bgColor indexed="46"/>
      </patternFill>
    </fill>
    <fill>
      <patternFill patternType="solid">
        <fgColor theme="3" tint="0.59999389629810485"/>
        <bgColor theme="0" tint="-0.14996795556505021"/>
      </patternFill>
    </fill>
    <fill>
      <patternFill patternType="gray0625">
        <fgColor indexed="46"/>
        <bgColor theme="3" tint="0.59999389629810485"/>
      </patternFill>
    </fill>
    <fill>
      <patternFill patternType="solid">
        <fgColor theme="0" tint="-0.14999847407452621"/>
        <bgColor auto="1"/>
      </patternFill>
    </fill>
    <fill>
      <patternFill patternType="gray0625">
        <fgColor theme="2" tint="-0.24994659260841701"/>
        <bgColor theme="0" tint="-0.14999847407452621"/>
      </patternFill>
    </fill>
    <fill>
      <patternFill patternType="gray0625">
        <fgColor theme="2" tint="-0.499984740745262"/>
        <bgColor theme="0" tint="-0.14996795556505021"/>
      </patternFill>
    </fill>
    <fill>
      <patternFill patternType="gray0625">
        <fgColor theme="2" tint="-0.499984740745262"/>
        <bgColor theme="0"/>
      </patternFill>
    </fill>
    <fill>
      <patternFill patternType="gray0625">
        <fgColor theme="0" tint="-0.24994659260841701"/>
        <bgColor theme="0" tint="-0.14999847407452621"/>
      </patternFill>
    </fill>
    <fill>
      <patternFill patternType="gray0625">
        <fgColor theme="2" tint="-0.499984740745262"/>
        <bgColor theme="0" tint="-0.14999847407452621"/>
      </patternFill>
    </fill>
    <fill>
      <patternFill patternType="solid">
        <fgColor theme="4" tint="0.79998168889431442"/>
        <bgColor indexed="46"/>
      </patternFill>
    </fill>
    <fill>
      <patternFill patternType="solid">
        <fgColor theme="0" tint="-0.14999847407452621"/>
        <bgColor theme="0" tint="-0.14996795556505021"/>
      </patternFill>
    </fill>
    <fill>
      <patternFill patternType="solid">
        <fgColor theme="0"/>
        <bgColor indexed="46"/>
      </patternFill>
    </fill>
    <fill>
      <patternFill patternType="gray0625">
        <fgColor theme="2" tint="-0.24994659260841701"/>
        <bgColor theme="4" tint="0.79998168889431442"/>
      </patternFill>
    </fill>
    <fill>
      <patternFill patternType="solid">
        <fgColor theme="4" tint="0.79998168889431442"/>
        <bgColor theme="2" tint="-0.24994659260841701"/>
      </patternFill>
    </fill>
    <fill>
      <patternFill patternType="solid">
        <fgColor theme="4" tint="0.39997558519241921"/>
        <bgColor indexed="46"/>
      </patternFill>
    </fill>
    <fill>
      <patternFill patternType="gray125">
        <fgColor theme="2" tint="-0.24994659260841701"/>
        <bgColor theme="0" tint="-0.14999847407452621"/>
      </patternFill>
    </fill>
    <fill>
      <patternFill patternType="gray0625">
        <fgColor indexed="46"/>
        <bgColor theme="6" tint="0.79998168889431442"/>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9B9B"/>
        <bgColor indexed="64"/>
      </patternFill>
    </fill>
    <fill>
      <patternFill patternType="solid">
        <fgColor rgb="FFFFFF00"/>
        <bgColor indexed="64"/>
      </patternFill>
    </fill>
    <fill>
      <patternFill patternType="gray0625">
        <fgColor indexed="46"/>
        <bgColor theme="8" tint="0.79998168889431442"/>
      </patternFill>
    </fill>
    <fill>
      <patternFill patternType="solid">
        <fgColor theme="4" tint="0.79998168889431442"/>
        <bgColor indexed="64"/>
      </patternFill>
    </fill>
    <fill>
      <patternFill patternType="gray0625">
        <fgColor indexed="46"/>
        <bgColor theme="0" tint="-0.14996795556505021"/>
      </patternFill>
    </fill>
    <fill>
      <patternFill patternType="gray0625">
        <fgColor theme="7" tint="0.79992065187536243"/>
        <bgColor rgb="FF90B6E4"/>
      </patternFill>
    </fill>
    <fill>
      <patternFill patternType="solid">
        <fgColor rgb="FFE4E4E4"/>
        <bgColor indexed="64"/>
      </patternFill>
    </fill>
    <fill>
      <patternFill patternType="gray0625">
        <fgColor indexed="46"/>
        <bgColor rgb="FFFFFF00"/>
      </patternFill>
    </fill>
    <fill>
      <patternFill patternType="gray0625">
        <fgColor indexed="46"/>
        <bgColor rgb="FF90B6E4"/>
      </patternFill>
    </fill>
    <fill>
      <patternFill patternType="gray0625">
        <fgColor indexed="46"/>
        <bgColor theme="4"/>
      </patternFill>
    </fill>
    <fill>
      <patternFill patternType="solid">
        <fgColor rgb="FFFFFF00"/>
        <bgColor indexed="46"/>
      </patternFill>
    </fill>
    <fill>
      <patternFill patternType="solid">
        <fgColor theme="4" tint="0.59999389629810485"/>
        <bgColor indexed="64"/>
      </patternFill>
    </fill>
    <fill>
      <patternFill patternType="solid">
        <fgColor rgb="FFC8D7EA"/>
        <bgColor indexed="64"/>
      </patternFill>
    </fill>
    <fill>
      <patternFill patternType="solid">
        <fgColor rgb="FFF7F7F7"/>
        <bgColor indexed="64"/>
      </patternFill>
    </fill>
    <fill>
      <patternFill patternType="gray0625">
        <fgColor indexed="46"/>
        <bgColor theme="7" tint="0.79998168889431442"/>
      </patternFill>
    </fill>
    <fill>
      <patternFill patternType="solid">
        <fgColor theme="7" tint="0.79998168889431442"/>
        <bgColor indexed="64"/>
      </patternFill>
    </fill>
    <fill>
      <patternFill patternType="gray0625">
        <fgColor indexed="46"/>
        <bgColor theme="0" tint="-4.9989318521683403E-2"/>
      </patternFill>
    </fill>
    <fill>
      <patternFill patternType="solid">
        <fgColor theme="0" tint="-4.9989318521683403E-2"/>
        <bgColor indexed="46"/>
      </patternFill>
    </fill>
    <fill>
      <patternFill patternType="gray0625">
        <fgColor theme="3" tint="0.59996337778862885"/>
        <bgColor theme="0" tint="-0.14999847407452621"/>
      </patternFill>
    </fill>
    <fill>
      <patternFill patternType="solid">
        <fgColor theme="0" tint="-0.14996795556505021"/>
        <bgColor theme="0" tint="-0.14996795556505021"/>
      </patternFill>
    </fill>
    <fill>
      <patternFill patternType="solid">
        <fgColor theme="3" tint="0.79998168889431442"/>
        <bgColor indexed="46"/>
      </patternFill>
    </fill>
    <fill>
      <patternFill patternType="solid">
        <fgColor theme="9" tint="0.59999389629810485"/>
        <bgColor indexed="64"/>
      </patternFill>
    </fill>
    <fill>
      <patternFill patternType="gray0625">
        <fgColor indexed="46"/>
        <bgColor theme="9"/>
      </patternFill>
    </fill>
    <fill>
      <patternFill patternType="solid">
        <fgColor theme="9" tint="0.79998168889431442"/>
        <bgColor indexed="64"/>
      </patternFill>
    </fill>
    <fill>
      <patternFill patternType="gray0625">
        <fgColor theme="7" tint="0.79992065187536243"/>
        <bgColor theme="0" tint="-0.14999847407452621"/>
      </patternFill>
    </fill>
    <fill>
      <patternFill patternType="gray0625">
        <fgColor indexed="46"/>
        <bgColor theme="4" tint="0.39997558519241921"/>
      </patternFill>
    </fill>
    <fill>
      <patternFill patternType="gray0625">
        <fgColor indexed="46"/>
        <bgColor theme="9" tint="0.59999389629810485"/>
      </patternFill>
    </fill>
    <fill>
      <patternFill patternType="gray0625">
        <fgColor theme="9" tint="0.79998168889431442"/>
        <bgColor theme="0" tint="-0.14993743705557422"/>
      </patternFill>
    </fill>
    <fill>
      <patternFill patternType="solid">
        <fgColor theme="0"/>
        <bgColor theme="0" tint="-0.14996795556505021"/>
      </patternFill>
    </fill>
    <fill>
      <patternFill patternType="solid">
        <fgColor theme="0"/>
        <bgColor auto="1"/>
      </patternFill>
    </fill>
    <fill>
      <patternFill patternType="solid">
        <fgColor theme="0" tint="-0.249977111117893"/>
        <bgColor indexed="64"/>
      </patternFill>
    </fill>
    <fill>
      <patternFill patternType="gray0625">
        <fgColor indexed="46"/>
        <bgColor theme="5" tint="0.79998168889431442"/>
      </patternFill>
    </fill>
    <fill>
      <patternFill patternType="gray0625">
        <fgColor indexed="46"/>
        <bgColor theme="2"/>
      </patternFill>
    </fill>
    <fill>
      <patternFill patternType="solid">
        <fgColor theme="3" tint="0.59999389629810485"/>
        <bgColor indexed="64"/>
      </patternFill>
    </fill>
    <fill>
      <patternFill patternType="gray0625">
        <fgColor indexed="46"/>
        <bgColor theme="0" tint="-0.249977111117893"/>
      </patternFill>
    </fill>
    <fill>
      <patternFill patternType="gray0625">
        <fgColor indexed="46"/>
        <bgColor rgb="FFFFC000"/>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4.9989318521683403E-2"/>
        <bgColor theme="0" tint="-0.14996795556505021"/>
      </patternFill>
    </fill>
    <fill>
      <patternFill patternType="solid">
        <fgColor theme="2"/>
        <bgColor indexed="64"/>
      </patternFill>
    </fill>
    <fill>
      <patternFill patternType="gray0625">
        <fgColor indexed="46"/>
        <bgColor theme="5" tint="0.59999389629810485"/>
      </patternFill>
    </fill>
    <fill>
      <patternFill patternType="solid">
        <fgColor rgb="FFF6F5F0"/>
        <bgColor indexed="46"/>
      </patternFill>
    </fill>
    <fill>
      <patternFill patternType="gray0625">
        <fgColor theme="0"/>
        <bgColor theme="3" tint="0.59999389629810485"/>
      </patternFill>
    </fill>
    <fill>
      <patternFill patternType="solid">
        <fgColor theme="0" tint="-0.249977111117893"/>
        <bgColor indexed="46"/>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style="thin">
        <color indexed="64"/>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medium">
        <color auto="1"/>
      </left>
      <right style="medium">
        <color auto="1"/>
      </right>
      <top style="medium">
        <color auto="1"/>
      </top>
      <bottom style="thin">
        <color auto="1"/>
      </bottom>
      <diagonal/>
    </border>
    <border>
      <left/>
      <right style="medium">
        <color rgb="FF000000"/>
      </right>
      <top/>
      <bottom style="medium">
        <color rgb="FF000000"/>
      </bottom>
      <diagonal/>
    </border>
    <border>
      <left/>
      <right style="dotted">
        <color rgb="FF000000"/>
      </right>
      <top/>
      <bottom style="medium">
        <color rgb="FF000000"/>
      </bottom>
      <diagonal/>
    </border>
    <border>
      <left/>
      <right style="medium">
        <color rgb="FF000000"/>
      </right>
      <top/>
      <bottom/>
      <diagonal/>
    </border>
    <border>
      <left style="thin">
        <color theme="0"/>
      </left>
      <right style="thin">
        <color theme="0"/>
      </right>
      <top style="thin">
        <color indexed="64"/>
      </top>
      <bottom style="thin">
        <color indexed="64"/>
      </bottom>
      <diagonal/>
    </border>
    <border>
      <left/>
      <right style="dotted">
        <color rgb="FF000000"/>
      </right>
      <top/>
      <bottom/>
      <diagonal/>
    </border>
    <border>
      <left/>
      <right style="medium">
        <color rgb="FF000000"/>
      </right>
      <top style="thin">
        <color indexed="64"/>
      </top>
      <bottom style="thin">
        <color indexed="64"/>
      </bottom>
      <diagonal/>
    </border>
    <border>
      <left style="medium">
        <color rgb="FF000000"/>
      </left>
      <right style="medium">
        <color rgb="FF000000"/>
      </right>
      <top style="thin">
        <color indexed="64"/>
      </top>
      <bottom style="thin">
        <color indexed="64"/>
      </bottom>
      <diagonal/>
    </border>
    <border>
      <left style="medium">
        <color rgb="FF000000"/>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0" fontId="14" fillId="0" borderId="0" applyNumberFormat="0" applyFill="0" applyBorder="0" applyAlignment="0" applyProtection="0">
      <alignment vertical="top"/>
      <protection locked="0"/>
    </xf>
    <xf numFmtId="9" fontId="36" fillId="0" borderId="0" applyFont="0" applyFill="0" applyBorder="0" applyAlignment="0" applyProtection="0"/>
    <xf numFmtId="43" fontId="38" fillId="0" borderId="0" applyFont="0" applyFill="0" applyBorder="0" applyAlignment="0" applyProtection="0"/>
    <xf numFmtId="0" fontId="8" fillId="0" borderId="0"/>
    <xf numFmtId="0" fontId="8" fillId="0" borderId="0"/>
    <xf numFmtId="0" fontId="42" fillId="0" borderId="0" applyNumberFormat="0" applyFill="0" applyBorder="0" applyAlignment="0" applyProtection="0"/>
    <xf numFmtId="0" fontId="43" fillId="0" borderId="0" applyNumberFormat="0" applyFill="0" applyBorder="0" applyAlignment="0" applyProtection="0">
      <alignment vertical="top"/>
      <protection locked="0"/>
    </xf>
    <xf numFmtId="0" fontId="47" fillId="0" borderId="0" applyNumberFormat="0" applyFill="0" applyBorder="0" applyAlignment="0" applyProtection="0"/>
    <xf numFmtId="44" fontId="55" fillId="0" borderId="0" applyFont="0" applyFill="0" applyBorder="0" applyAlignment="0" applyProtection="0"/>
    <xf numFmtId="0" fontId="70" fillId="0" borderId="0"/>
    <xf numFmtId="9" fontId="70" fillId="0" borderId="0" applyFont="0" applyFill="0" applyBorder="0" applyAlignment="0" applyProtection="0"/>
    <xf numFmtId="0" fontId="85" fillId="0" borderId="0"/>
    <xf numFmtId="0" fontId="87" fillId="0" borderId="0" applyNumberFormat="0" applyFill="0" applyBorder="0" applyAlignment="0" applyProtection="0"/>
  </cellStyleXfs>
  <cellXfs count="1258">
    <xf numFmtId="0" fontId="0" fillId="0" borderId="0" xfId="0"/>
    <xf numFmtId="0" fontId="0" fillId="2" borderId="0" xfId="0" applyFill="1"/>
    <xf numFmtId="0" fontId="0" fillId="2" borderId="0" xfId="0" applyFill="1" applyAlignment="1">
      <alignment wrapText="1"/>
    </xf>
    <xf numFmtId="0" fontId="10" fillId="2" borderId="0" xfId="0" applyFont="1" applyFill="1" applyAlignment="1">
      <alignment wrapText="1"/>
    </xf>
    <xf numFmtId="0" fontId="10" fillId="2" borderId="0" xfId="0" applyFont="1" applyFill="1" applyAlignment="1">
      <alignment horizontal="center" wrapText="1"/>
    </xf>
    <xf numFmtId="0" fontId="15" fillId="2" borderId="0" xfId="0" applyFont="1" applyFill="1" applyAlignment="1">
      <alignment horizontal="left" wrapText="1" indent="1"/>
    </xf>
    <xf numFmtId="0" fontId="13" fillId="3" borderId="0" xfId="0" applyFont="1" applyFill="1" applyAlignment="1">
      <alignment horizontal="center" wrapText="1"/>
    </xf>
    <xf numFmtId="0" fontId="0" fillId="3" borderId="0" xfId="0" applyFill="1" applyAlignment="1">
      <alignment wrapText="1"/>
    </xf>
    <xf numFmtId="0" fontId="10" fillId="3" borderId="0" xfId="0" applyFont="1" applyFill="1" applyAlignment="1">
      <alignment wrapText="1"/>
    </xf>
    <xf numFmtId="0" fontId="15" fillId="3" borderId="0" xfId="0" applyFont="1" applyFill="1" applyAlignment="1">
      <alignment horizontal="left" wrapText="1" indent="1"/>
    </xf>
    <xf numFmtId="0" fontId="16" fillId="2" borderId="0" xfId="0" applyFont="1" applyFill="1" applyAlignment="1">
      <alignment horizontal="center" wrapText="1"/>
    </xf>
    <xf numFmtId="2" fontId="0" fillId="4" borderId="0" xfId="0" applyNumberFormat="1" applyFill="1"/>
    <xf numFmtId="2" fontId="0" fillId="4" borderId="0" xfId="0" applyNumberFormat="1" applyFill="1" applyAlignment="1">
      <alignment horizontal="right"/>
    </xf>
    <xf numFmtId="2" fontId="0" fillId="4" borderId="0" xfId="0" applyNumberFormat="1" applyFill="1" applyAlignment="1">
      <alignment horizontal="left"/>
    </xf>
    <xf numFmtId="1" fontId="12" fillId="5" borderId="0" xfId="0" applyNumberFormat="1" applyFont="1" applyFill="1" applyAlignment="1">
      <alignment horizontal="center"/>
    </xf>
    <xf numFmtId="165" fontId="12" fillId="5" borderId="0" xfId="0" applyNumberFormat="1" applyFont="1" applyFill="1"/>
    <xf numFmtId="165" fontId="12" fillId="5" borderId="0" xfId="0" applyNumberFormat="1" applyFont="1" applyFill="1" applyAlignment="1">
      <alignment horizontal="right"/>
    </xf>
    <xf numFmtId="165" fontId="12" fillId="5" borderId="0" xfId="0" applyNumberFormat="1" applyFont="1" applyFill="1" applyAlignment="1">
      <alignment horizontal="center"/>
    </xf>
    <xf numFmtId="165" fontId="12" fillId="2" borderId="1" xfId="0" applyNumberFormat="1" applyFont="1" applyFill="1" applyBorder="1" applyProtection="1">
      <protection locked="0"/>
    </xf>
    <xf numFmtId="165" fontId="12" fillId="2" borderId="1" xfId="0" applyNumberFormat="1" applyFont="1" applyFill="1" applyBorder="1" applyAlignment="1" applyProtection="1">
      <alignment horizontal="right"/>
      <protection locked="0"/>
    </xf>
    <xf numFmtId="165" fontId="12" fillId="2" borderId="1" xfId="0" applyNumberFormat="1" applyFont="1" applyFill="1" applyBorder="1"/>
    <xf numFmtId="165" fontId="12" fillId="2" borderId="1" xfId="0" applyNumberFormat="1" applyFont="1" applyFill="1" applyBorder="1" applyAlignment="1">
      <alignment horizontal="right"/>
    </xf>
    <xf numFmtId="164" fontId="12" fillId="5" borderId="0" xfId="0" applyNumberFormat="1" applyFont="1" applyFill="1" applyAlignment="1">
      <alignment horizontal="center"/>
    </xf>
    <xf numFmtId="164" fontId="12" fillId="5" borderId="0" xfId="0" applyNumberFormat="1" applyFont="1" applyFill="1" applyAlignment="1">
      <alignment horizontal="right"/>
    </xf>
    <xf numFmtId="164" fontId="12" fillId="2" borderId="1" xfId="0" applyNumberFormat="1" applyFont="1" applyFill="1" applyBorder="1" applyAlignment="1" applyProtection="1">
      <alignment horizontal="right"/>
      <protection locked="0"/>
    </xf>
    <xf numFmtId="1" fontId="0" fillId="5" borderId="0" xfId="0" applyNumberFormat="1" applyFill="1" applyAlignment="1">
      <alignment horizontal="center"/>
    </xf>
    <xf numFmtId="165" fontId="0" fillId="5" borderId="0" xfId="0" applyNumberFormat="1" applyFill="1"/>
    <xf numFmtId="165" fontId="0" fillId="5" borderId="0" xfId="0" applyNumberFormat="1" applyFill="1" applyAlignment="1">
      <alignment horizontal="right"/>
    </xf>
    <xf numFmtId="165" fontId="0" fillId="5" borderId="0" xfId="0" applyNumberFormat="1" applyFill="1" applyAlignment="1">
      <alignment horizontal="center"/>
    </xf>
    <xf numFmtId="165" fontId="0" fillId="2" borderId="1" xfId="0" applyNumberFormat="1" applyFill="1" applyBorder="1" applyAlignment="1" applyProtection="1">
      <alignment horizontal="right"/>
      <protection locked="0"/>
    </xf>
    <xf numFmtId="165" fontId="0" fillId="2" borderId="1" xfId="0" applyNumberFormat="1" applyFill="1" applyBorder="1" applyAlignment="1" applyProtection="1">
      <alignment horizontal="center"/>
      <protection locked="0"/>
    </xf>
    <xf numFmtId="166" fontId="12" fillId="5" borderId="0" xfId="0" applyNumberFormat="1" applyFont="1" applyFill="1" applyAlignment="1">
      <alignment horizontal="center"/>
    </xf>
    <xf numFmtId="166" fontId="12" fillId="5" borderId="0" xfId="0" applyNumberFormat="1" applyFont="1" applyFill="1" applyAlignment="1">
      <alignment horizontal="right"/>
    </xf>
    <xf numFmtId="1" fontId="12" fillId="5" borderId="0" xfId="0" applyNumberFormat="1" applyFont="1" applyFill="1" applyAlignment="1">
      <alignment horizontal="right"/>
    </xf>
    <xf numFmtId="0" fontId="13" fillId="3" borderId="0" xfId="0" applyFont="1" applyFill="1" applyAlignment="1">
      <alignment wrapText="1"/>
    </xf>
    <xf numFmtId="0" fontId="12" fillId="2" borderId="0" xfId="0" applyFont="1" applyFill="1" applyAlignment="1">
      <alignment wrapText="1"/>
    </xf>
    <xf numFmtId="0" fontId="20" fillId="2" borderId="0" xfId="1" applyFont="1" applyFill="1" applyAlignment="1" applyProtection="1"/>
    <xf numFmtId="1" fontId="0" fillId="4" borderId="0" xfId="0" applyNumberFormat="1" applyFill="1"/>
    <xf numFmtId="0" fontId="9" fillId="2" borderId="0" xfId="0" applyFont="1" applyFill="1" applyAlignment="1">
      <alignment wrapText="1"/>
    </xf>
    <xf numFmtId="165" fontId="9" fillId="2" borderId="1" xfId="0" applyNumberFormat="1" applyFont="1" applyFill="1" applyBorder="1" applyProtection="1">
      <protection locked="0"/>
    </xf>
    <xf numFmtId="2" fontId="9" fillId="4" borderId="0" xfId="0" applyNumberFormat="1" applyFont="1" applyFill="1" applyAlignment="1">
      <alignment horizontal="right"/>
    </xf>
    <xf numFmtId="0" fontId="9" fillId="3" borderId="0" xfId="0" applyFont="1" applyFill="1" applyAlignment="1">
      <alignment wrapText="1"/>
    </xf>
    <xf numFmtId="0" fontId="15" fillId="3" borderId="0" xfId="0" applyFont="1" applyFill="1" applyAlignment="1">
      <alignment horizontal="left" vertical="top" wrapText="1" indent="1"/>
    </xf>
    <xf numFmtId="0" fontId="0" fillId="5" borderId="0" xfId="0" applyFill="1" applyAlignment="1">
      <alignment horizontal="right"/>
    </xf>
    <xf numFmtId="0" fontId="25" fillId="0" borderId="0" xfId="0" applyFont="1" applyAlignment="1">
      <alignment horizontal="center" vertical="center"/>
    </xf>
    <xf numFmtId="0" fontId="26" fillId="0" borderId="0" xfId="0" applyFont="1"/>
    <xf numFmtId="0" fontId="30" fillId="0" borderId="0" xfId="0" applyFont="1" applyAlignment="1">
      <alignment vertical="center"/>
    </xf>
    <xf numFmtId="0" fontId="28" fillId="0" borderId="0" xfId="0" applyFont="1" applyAlignment="1">
      <alignment horizontal="left" vertical="center" indent="1"/>
    </xf>
    <xf numFmtId="0" fontId="27" fillId="0" borderId="17" xfId="0" applyFont="1" applyBorder="1" applyAlignment="1">
      <alignment horizontal="left" vertical="center" indent="1"/>
    </xf>
    <xf numFmtId="0" fontId="25" fillId="0" borderId="18" xfId="0" applyFont="1" applyBorder="1" applyAlignment="1">
      <alignment horizontal="center" vertical="center"/>
    </xf>
    <xf numFmtId="0" fontId="27" fillId="0" borderId="20" xfId="0" applyFont="1" applyBorder="1" applyAlignment="1">
      <alignment horizontal="left" vertical="center" indent="1"/>
    </xf>
    <xf numFmtId="0" fontId="25" fillId="0" borderId="8" xfId="0" applyFont="1" applyBorder="1" applyAlignment="1">
      <alignment horizontal="center" vertical="center"/>
    </xf>
    <xf numFmtId="0" fontId="27" fillId="0" borderId="0" xfId="0" applyFont="1" applyAlignment="1">
      <alignment horizontal="left" vertical="center" indent="1"/>
    </xf>
    <xf numFmtId="0" fontId="0" fillId="0" borderId="19" xfId="0" applyBorder="1"/>
    <xf numFmtId="0" fontId="0" fillId="0" borderId="21" xfId="0" applyBorder="1"/>
    <xf numFmtId="0" fontId="32" fillId="0" borderId="19" xfId="0" applyFont="1" applyBorder="1" applyAlignment="1">
      <alignment horizontal="right" vertical="top" wrapText="1"/>
    </xf>
    <xf numFmtId="0" fontId="25" fillId="0" borderId="9" xfId="0" applyFont="1" applyBorder="1" applyAlignment="1">
      <alignment horizontal="center" vertical="center"/>
    </xf>
    <xf numFmtId="0" fontId="35" fillId="0" borderId="16" xfId="0" applyFont="1" applyBorder="1" applyAlignment="1">
      <alignment horizontal="left" vertical="center" indent="1"/>
    </xf>
    <xf numFmtId="0" fontId="35" fillId="0" borderId="19" xfId="0" applyFont="1" applyBorder="1" applyAlignment="1">
      <alignment horizontal="left" vertical="center" indent="1"/>
    </xf>
    <xf numFmtId="0" fontId="35" fillId="0" borderId="21" xfId="0" applyFont="1" applyBorder="1" applyAlignment="1">
      <alignment horizontal="left" vertical="center" indent="1"/>
    </xf>
    <xf numFmtId="0" fontId="21" fillId="0" borderId="0" xfId="0" applyFont="1"/>
    <xf numFmtId="0" fontId="16" fillId="0" borderId="0" xfId="0" applyFont="1" applyAlignment="1">
      <alignment horizontal="center" vertical="center"/>
    </xf>
    <xf numFmtId="0" fontId="12" fillId="0" borderId="0" xfId="0" applyFont="1"/>
    <xf numFmtId="0" fontId="32" fillId="0" borderId="22" xfId="0" applyFont="1" applyBorder="1" applyAlignment="1">
      <alignment vertical="center" wrapText="1"/>
    </xf>
    <xf numFmtId="0" fontId="32" fillId="0" borderId="23" xfId="0" applyFont="1" applyBorder="1" applyAlignment="1">
      <alignment vertical="center" wrapText="1"/>
    </xf>
    <xf numFmtId="0" fontId="31" fillId="0" borderId="23" xfId="0" applyFont="1" applyBorder="1" applyAlignment="1">
      <alignment vertical="center" wrapText="1"/>
    </xf>
    <xf numFmtId="0" fontId="32" fillId="0" borderId="15" xfId="0" applyFont="1" applyBorder="1" applyAlignment="1">
      <alignment vertical="center" wrapText="1"/>
    </xf>
    <xf numFmtId="0" fontId="32" fillId="0" borderId="27" xfId="0" applyFont="1" applyBorder="1" applyAlignment="1">
      <alignment vertical="center" wrapText="1"/>
    </xf>
    <xf numFmtId="0" fontId="32" fillId="0" borderId="25" xfId="0" applyFont="1" applyBorder="1" applyAlignment="1">
      <alignment vertical="center" wrapText="1"/>
    </xf>
    <xf numFmtId="0" fontId="32" fillId="0" borderId="19" xfId="0" applyFont="1" applyBorder="1" applyAlignment="1">
      <alignment horizontal="right" vertical="top"/>
    </xf>
    <xf numFmtId="0" fontId="0" fillId="6" borderId="1" xfId="0" applyFill="1" applyBorder="1" applyAlignment="1" applyProtection="1">
      <alignment horizontal="left"/>
      <protection locked="0"/>
    </xf>
    <xf numFmtId="0" fontId="0" fillId="6" borderId="1" xfId="0" applyFill="1" applyBorder="1" applyAlignment="1" applyProtection="1">
      <alignment horizontal="center"/>
      <protection locked="0"/>
    </xf>
    <xf numFmtId="0" fontId="0" fillId="6" borderId="1" xfId="0" applyFill="1" applyBorder="1" applyProtection="1">
      <protection locked="0"/>
    </xf>
    <xf numFmtId="0" fontId="11" fillId="6" borderId="1" xfId="0" applyFont="1" applyFill="1" applyBorder="1" applyProtection="1">
      <protection locked="0"/>
    </xf>
    <xf numFmtId="3" fontId="0" fillId="6" borderId="1" xfId="0" applyNumberFormat="1" applyFill="1" applyBorder="1" applyAlignment="1" applyProtection="1">
      <alignment horizontal="right"/>
      <protection locked="0"/>
    </xf>
    <xf numFmtId="0" fontId="12" fillId="6" borderId="1" xfId="0" applyFont="1" applyFill="1" applyBorder="1" applyAlignment="1" applyProtection="1">
      <alignment horizontal="left"/>
      <protection locked="0"/>
    </xf>
    <xf numFmtId="2" fontId="0" fillId="4" borderId="1" xfId="0" applyNumberFormat="1" applyFill="1" applyBorder="1"/>
    <xf numFmtId="165" fontId="9" fillId="5" borderId="0" xfId="0" applyNumberFormat="1" applyFont="1" applyFill="1"/>
    <xf numFmtId="164" fontId="9" fillId="2" borderId="1" xfId="0" applyNumberFormat="1" applyFont="1" applyFill="1" applyBorder="1" applyAlignment="1" applyProtection="1">
      <alignment horizontal="right"/>
      <protection locked="0"/>
    </xf>
    <xf numFmtId="3" fontId="9" fillId="6" borderId="1" xfId="0" applyNumberFormat="1" applyFont="1" applyFill="1" applyBorder="1" applyAlignment="1" applyProtection="1">
      <alignment horizontal="right"/>
      <protection locked="0"/>
    </xf>
    <xf numFmtId="2" fontId="0" fillId="8" borderId="10" xfId="0" applyNumberFormat="1" applyFill="1" applyBorder="1"/>
    <xf numFmtId="2" fontId="41" fillId="8" borderId="10" xfId="0" applyNumberFormat="1" applyFont="1" applyFill="1" applyBorder="1"/>
    <xf numFmtId="2" fontId="16" fillId="8" borderId="10" xfId="0" applyNumberFormat="1" applyFont="1" applyFill="1" applyBorder="1"/>
    <xf numFmtId="0" fontId="0" fillId="9" borderId="0" xfId="0" applyFill="1"/>
    <xf numFmtId="0" fontId="0" fillId="10" borderId="0" xfId="0" applyFill="1"/>
    <xf numFmtId="0" fontId="45" fillId="12" borderId="30" xfId="5" applyFont="1" applyFill="1" applyBorder="1" applyAlignment="1">
      <alignment horizontal="left" vertical="center" wrapText="1"/>
    </xf>
    <xf numFmtId="0" fontId="48" fillId="11" borderId="23" xfId="8" applyFont="1" applyFill="1" applyBorder="1" applyAlignment="1">
      <alignment horizontal="left" indent="3"/>
    </xf>
    <xf numFmtId="0" fontId="0" fillId="11" borderId="0" xfId="0" applyFill="1"/>
    <xf numFmtId="0" fontId="0" fillId="0" borderId="22" xfId="0" applyBorder="1"/>
    <xf numFmtId="0" fontId="46" fillId="11" borderId="23" xfId="0" applyFont="1" applyFill="1" applyBorder="1" applyAlignment="1">
      <alignment horizontal="left" indent="1"/>
    </xf>
    <xf numFmtId="0" fontId="46" fillId="11" borderId="23" xfId="0" applyFont="1" applyFill="1" applyBorder="1"/>
    <xf numFmtId="0" fontId="46" fillId="11" borderId="23" xfId="0" applyFont="1" applyFill="1" applyBorder="1" applyAlignment="1">
      <alignment horizontal="left" indent="3"/>
    </xf>
    <xf numFmtId="0" fontId="0" fillId="11" borderId="15" xfId="0" applyFill="1" applyBorder="1"/>
    <xf numFmtId="0" fontId="49" fillId="11" borderId="23" xfId="0" applyFont="1" applyFill="1" applyBorder="1" applyAlignment="1">
      <alignment horizontal="left" wrapText="1" indent="1"/>
    </xf>
    <xf numFmtId="0" fontId="9" fillId="0" borderId="0" xfId="0" applyFont="1"/>
    <xf numFmtId="43" fontId="0" fillId="10" borderId="0" xfId="3" applyFont="1" applyFill="1"/>
    <xf numFmtId="2" fontId="9" fillId="4" borderId="0" xfId="0" applyNumberFormat="1" applyFont="1" applyFill="1"/>
    <xf numFmtId="2" fontId="0" fillId="4" borderId="22" xfId="0" applyNumberFormat="1" applyFill="1" applyBorder="1"/>
    <xf numFmtId="2" fontId="0" fillId="14" borderId="0" xfId="0" applyNumberFormat="1" applyFill="1"/>
    <xf numFmtId="2" fontId="9" fillId="4" borderId="23" xfId="0" applyNumberFormat="1" applyFont="1" applyFill="1" applyBorder="1"/>
    <xf numFmtId="2" fontId="9" fillId="4" borderId="15" xfId="0" applyNumberFormat="1" applyFont="1" applyFill="1" applyBorder="1"/>
    <xf numFmtId="165" fontId="9" fillId="5" borderId="0" xfId="0" quotePrefix="1" applyNumberFormat="1" applyFont="1" applyFill="1"/>
    <xf numFmtId="2" fontId="37" fillId="7" borderId="12" xfId="0" applyNumberFormat="1" applyFont="1" applyFill="1" applyBorder="1" applyAlignment="1" applyProtection="1">
      <alignment horizontal="left"/>
      <protection locked="0"/>
    </xf>
    <xf numFmtId="166" fontId="0" fillId="4" borderId="1" xfId="0" applyNumberFormat="1" applyFill="1" applyBorder="1" applyAlignment="1">
      <alignment horizontal="center"/>
    </xf>
    <xf numFmtId="2" fontId="50" fillId="4" borderId="1" xfId="0" applyNumberFormat="1" applyFont="1" applyFill="1" applyBorder="1" applyAlignment="1">
      <alignment horizontal="center" vertical="center"/>
    </xf>
    <xf numFmtId="168" fontId="0" fillId="4" borderId="0" xfId="3" applyNumberFormat="1" applyFont="1" applyFill="1" applyProtection="1"/>
    <xf numFmtId="2" fontId="9" fillId="4" borderId="14" xfId="0" applyNumberFormat="1" applyFont="1" applyFill="1" applyBorder="1" applyAlignment="1">
      <alignment horizontal="right"/>
    </xf>
    <xf numFmtId="2" fontId="9" fillId="4" borderId="1" xfId="0" applyNumberFormat="1" applyFont="1" applyFill="1" applyBorder="1"/>
    <xf numFmtId="2" fontId="37" fillId="7" borderId="1" xfId="0" applyNumberFormat="1" applyFont="1" applyFill="1" applyBorder="1" applyProtection="1">
      <protection locked="0"/>
    </xf>
    <xf numFmtId="2" fontId="0" fillId="15" borderId="0" xfId="0" applyNumberFormat="1" applyFill="1"/>
    <xf numFmtId="2" fontId="9" fillId="4" borderId="22" xfId="0" applyNumberFormat="1" applyFont="1" applyFill="1" applyBorder="1"/>
    <xf numFmtId="2" fontId="37" fillId="7" borderId="1" xfId="0" applyNumberFormat="1" applyFont="1" applyFill="1" applyBorder="1" applyAlignment="1" applyProtection="1">
      <alignment horizontal="left"/>
      <protection locked="0"/>
    </xf>
    <xf numFmtId="2" fontId="9" fillId="4" borderId="1" xfId="0" applyNumberFormat="1" applyFont="1" applyFill="1" applyBorder="1" applyAlignment="1">
      <alignment vertical="center"/>
    </xf>
    <xf numFmtId="166" fontId="9" fillId="4" borderId="1" xfId="0" applyNumberFormat="1" applyFont="1" applyFill="1" applyBorder="1" applyAlignment="1">
      <alignment horizontal="left"/>
    </xf>
    <xf numFmtId="2" fontId="9" fillId="4" borderId="1" xfId="0" applyNumberFormat="1" applyFont="1" applyFill="1" applyBorder="1" applyAlignment="1">
      <alignment horizontal="left"/>
    </xf>
    <xf numFmtId="2" fontId="9" fillId="4" borderId="0" xfId="0" applyNumberFormat="1" applyFont="1" applyFill="1" applyAlignment="1">
      <alignment horizontal="left"/>
    </xf>
    <xf numFmtId="2" fontId="10" fillId="16" borderId="0" xfId="0" applyNumberFormat="1" applyFont="1" applyFill="1"/>
    <xf numFmtId="2" fontId="10" fillId="16" borderId="0" xfId="0" applyNumberFormat="1" applyFont="1" applyFill="1" applyAlignment="1">
      <alignment horizontal="right"/>
    </xf>
    <xf numFmtId="3" fontId="51" fillId="4" borderId="1" xfId="0" applyNumberFormat="1" applyFont="1" applyFill="1" applyBorder="1" applyAlignment="1">
      <alignment horizontal="center" vertical="center"/>
    </xf>
    <xf numFmtId="1" fontId="0" fillId="4" borderId="0" xfId="0" applyNumberFormat="1" applyFill="1" applyAlignment="1">
      <alignment horizontal="left"/>
    </xf>
    <xf numFmtId="2" fontId="0" fillId="17" borderId="0" xfId="0" applyNumberFormat="1" applyFill="1"/>
    <xf numFmtId="2" fontId="50" fillId="4" borderId="1" xfId="0" applyNumberFormat="1" applyFont="1" applyFill="1" applyBorder="1" applyAlignment="1">
      <alignment horizontal="center" vertical="center" wrapText="1"/>
    </xf>
    <xf numFmtId="1" fontId="0" fillId="4" borderId="1" xfId="0" applyNumberFormat="1" applyFill="1" applyBorder="1" applyAlignment="1">
      <alignment horizontal="center"/>
    </xf>
    <xf numFmtId="2" fontId="9" fillId="4" borderId="1" xfId="0" applyNumberFormat="1" applyFont="1" applyFill="1" applyBorder="1" applyAlignment="1">
      <alignment horizontal="center" wrapText="1"/>
    </xf>
    <xf numFmtId="2" fontId="50" fillId="7" borderId="1" xfId="0" applyNumberFormat="1" applyFont="1" applyFill="1" applyBorder="1" applyAlignment="1">
      <alignment horizontal="center" vertical="center" wrapText="1"/>
    </xf>
    <xf numFmtId="2" fontId="41" fillId="18" borderId="0" xfId="0" applyNumberFormat="1" applyFont="1" applyFill="1"/>
    <xf numFmtId="165" fontId="0" fillId="15" borderId="1" xfId="0" applyNumberFormat="1" applyFill="1" applyBorder="1"/>
    <xf numFmtId="0" fontId="0" fillId="6" borderId="15" xfId="0" applyFill="1" applyBorder="1" applyAlignment="1" applyProtection="1">
      <alignment horizontal="left"/>
      <protection locked="0"/>
    </xf>
    <xf numFmtId="3" fontId="9" fillId="6" borderId="15" xfId="0" applyNumberFormat="1" applyFont="1" applyFill="1" applyBorder="1" applyAlignment="1" applyProtection="1">
      <alignment horizontal="right"/>
      <protection locked="0"/>
    </xf>
    <xf numFmtId="2" fontId="0" fillId="19" borderId="0" xfId="0" applyNumberFormat="1" applyFill="1"/>
    <xf numFmtId="2" fontId="13" fillId="22" borderId="0" xfId="0" applyNumberFormat="1" applyFont="1" applyFill="1"/>
    <xf numFmtId="2" fontId="9" fillId="19" borderId="0" xfId="0" applyNumberFormat="1" applyFont="1" applyFill="1"/>
    <xf numFmtId="2" fontId="0" fillId="22" borderId="0" xfId="0" applyNumberFormat="1" applyFill="1"/>
    <xf numFmtId="2" fontId="10" fillId="19" borderId="0" xfId="0" applyNumberFormat="1" applyFont="1" applyFill="1"/>
    <xf numFmtId="2" fontId="0" fillId="19" borderId="0" xfId="0" applyNumberFormat="1" applyFill="1" applyAlignment="1">
      <alignment horizontal="right"/>
    </xf>
    <xf numFmtId="2" fontId="9" fillId="19" borderId="0" xfId="0" applyNumberFormat="1" applyFont="1" applyFill="1" applyAlignment="1">
      <alignment horizontal="right"/>
    </xf>
    <xf numFmtId="165" fontId="0" fillId="19" borderId="0" xfId="0" applyNumberFormat="1" applyFill="1" applyAlignment="1">
      <alignment horizontal="right"/>
    </xf>
    <xf numFmtId="2" fontId="0" fillId="24" borderId="10" xfId="0" applyNumberFormat="1" applyFill="1" applyBorder="1"/>
    <xf numFmtId="2" fontId="10" fillId="19" borderId="0" xfId="0" applyNumberFormat="1" applyFont="1" applyFill="1" applyAlignment="1">
      <alignment horizontal="left" vertical="center"/>
    </xf>
    <xf numFmtId="2" fontId="10" fillId="24" borderId="10" xfId="0" applyNumberFormat="1" applyFont="1" applyFill="1" applyBorder="1" applyAlignment="1">
      <alignment horizontal="center"/>
    </xf>
    <xf numFmtId="2" fontId="37" fillId="23" borderId="1" xfId="0" applyNumberFormat="1" applyFont="1" applyFill="1" applyBorder="1" applyProtection="1">
      <protection locked="0"/>
    </xf>
    <xf numFmtId="2" fontId="37" fillId="23" borderId="15" xfId="0" applyNumberFormat="1" applyFont="1" applyFill="1" applyBorder="1" applyProtection="1">
      <protection locked="0"/>
    </xf>
    <xf numFmtId="49" fontId="0" fillId="19" borderId="0" xfId="0" applyNumberFormat="1" applyFill="1"/>
    <xf numFmtId="0" fontId="0" fillId="19" borderId="0" xfId="0" applyFill="1"/>
    <xf numFmtId="2" fontId="0" fillId="19" borderId="0" xfId="0" applyNumberFormat="1" applyFill="1" applyAlignment="1">
      <alignment horizontal="left"/>
    </xf>
    <xf numFmtId="2" fontId="0" fillId="19" borderId="0" xfId="0" applyNumberFormat="1" applyFill="1" applyProtection="1">
      <protection locked="0"/>
    </xf>
    <xf numFmtId="2" fontId="10" fillId="19" borderId="0" xfId="0" applyNumberFormat="1" applyFont="1" applyFill="1" applyAlignment="1">
      <alignment vertical="center"/>
    </xf>
    <xf numFmtId="2" fontId="10" fillId="24" borderId="0" xfId="0" applyNumberFormat="1" applyFont="1" applyFill="1"/>
    <xf numFmtId="2" fontId="10" fillId="24" borderId="0" xfId="0" applyNumberFormat="1" applyFont="1" applyFill="1" applyAlignment="1">
      <alignment vertical="center"/>
    </xf>
    <xf numFmtId="165" fontId="12" fillId="5" borderId="0" xfId="0" applyNumberFormat="1" applyFont="1" applyFill="1" applyAlignment="1">
      <alignment horizontal="left"/>
    </xf>
    <xf numFmtId="1" fontId="9" fillId="5" borderId="0" xfId="0" applyNumberFormat="1" applyFont="1" applyFill="1" applyAlignment="1">
      <alignment horizontal="center"/>
    </xf>
    <xf numFmtId="165" fontId="9" fillId="5" borderId="0" xfId="0" applyNumberFormat="1" applyFont="1" applyFill="1" applyAlignment="1">
      <alignment horizontal="right"/>
    </xf>
    <xf numFmtId="165" fontId="9" fillId="5" borderId="0" xfId="0" applyNumberFormat="1" applyFont="1" applyFill="1" applyAlignment="1">
      <alignment horizontal="left"/>
    </xf>
    <xf numFmtId="165" fontId="56" fillId="5" borderId="0" xfId="0" applyNumberFormat="1" applyFont="1" applyFill="1"/>
    <xf numFmtId="165" fontId="56" fillId="5" borderId="0" xfId="0" applyNumberFormat="1" applyFont="1" applyFill="1" applyAlignment="1">
      <alignment horizontal="left"/>
    </xf>
    <xf numFmtId="165" fontId="56" fillId="5" borderId="0" xfId="0" applyNumberFormat="1" applyFont="1" applyFill="1" applyAlignment="1">
      <alignment horizontal="right"/>
    </xf>
    <xf numFmtId="0" fontId="56" fillId="5" borderId="0" xfId="0" applyFont="1" applyFill="1" applyAlignment="1">
      <alignment horizontal="left"/>
    </xf>
    <xf numFmtId="172" fontId="0" fillId="25" borderId="1" xfId="3" applyNumberFormat="1" applyFont="1" applyFill="1" applyBorder="1" applyAlignment="1">
      <alignment horizontal="right"/>
    </xf>
    <xf numFmtId="44" fontId="0" fillId="19" borderId="0" xfId="9" applyFont="1" applyFill="1" applyProtection="1"/>
    <xf numFmtId="44" fontId="10" fillId="19" borderId="0" xfId="9" applyFont="1" applyFill="1" applyBorder="1" applyAlignment="1" applyProtection="1">
      <alignment vertical="center"/>
    </xf>
    <xf numFmtId="44" fontId="0" fillId="4" borderId="0" xfId="9" applyFont="1" applyFill="1" applyProtection="1"/>
    <xf numFmtId="2" fontId="0" fillId="4" borderId="1" xfId="0" applyNumberFormat="1" applyFill="1" applyBorder="1" applyAlignment="1">
      <alignment horizontal="right"/>
    </xf>
    <xf numFmtId="165" fontId="39" fillId="5" borderId="0" xfId="0" applyNumberFormat="1" applyFont="1" applyFill="1" applyAlignment="1">
      <alignment horizontal="left"/>
    </xf>
    <xf numFmtId="165" fontId="10" fillId="5" borderId="0" xfId="0" quotePrefix="1" applyNumberFormat="1" applyFont="1" applyFill="1"/>
    <xf numFmtId="165" fontId="39" fillId="5" borderId="0" xfId="0" applyNumberFormat="1" applyFont="1" applyFill="1" applyAlignment="1">
      <alignment horizontal="right"/>
    </xf>
    <xf numFmtId="2" fontId="0" fillId="26" borderId="0" xfId="0" applyNumberFormat="1" applyFill="1"/>
    <xf numFmtId="1" fontId="0" fillId="19" borderId="0" xfId="0" applyNumberFormat="1" applyFill="1"/>
    <xf numFmtId="2" fontId="10" fillId="4" borderId="1" xfId="0" applyNumberFormat="1" applyFont="1" applyFill="1" applyBorder="1" applyAlignment="1">
      <alignment horizontal="center" vertical="center"/>
    </xf>
    <xf numFmtId="3" fontId="9" fillId="4" borderId="1" xfId="0" applyNumberFormat="1" applyFont="1" applyFill="1" applyBorder="1" applyAlignment="1">
      <alignment horizontal="left" vertical="center"/>
    </xf>
    <xf numFmtId="2" fontId="9" fillId="4" borderId="1" xfId="0" applyNumberFormat="1" applyFont="1" applyFill="1" applyBorder="1" applyAlignment="1">
      <alignment horizontal="left" wrapText="1"/>
    </xf>
    <xf numFmtId="3" fontId="0" fillId="6" borderId="1" xfId="0" applyNumberFormat="1" applyFill="1" applyBorder="1" applyAlignment="1" applyProtection="1">
      <alignment horizontal="left"/>
      <protection locked="0"/>
    </xf>
    <xf numFmtId="172" fontId="0" fillId="25" borderId="0" xfId="3" applyNumberFormat="1" applyFont="1" applyFill="1" applyBorder="1" applyAlignment="1">
      <alignment horizontal="right"/>
    </xf>
    <xf numFmtId="2" fontId="0" fillId="24" borderId="12" xfId="0" applyNumberFormat="1" applyFill="1" applyBorder="1"/>
    <xf numFmtId="2" fontId="0" fillId="24" borderId="14" xfId="0" applyNumberFormat="1" applyFill="1" applyBorder="1"/>
    <xf numFmtId="2" fontId="0" fillId="24" borderId="13" xfId="0" applyNumberFormat="1" applyFill="1" applyBorder="1"/>
    <xf numFmtId="2" fontId="0" fillId="4" borderId="1" xfId="0" applyNumberFormat="1" applyFill="1" applyBorder="1" applyAlignment="1">
      <alignment horizontal="center"/>
    </xf>
    <xf numFmtId="2" fontId="10" fillId="15" borderId="1" xfId="0" applyNumberFormat="1" applyFont="1" applyFill="1" applyBorder="1" applyAlignment="1">
      <alignment horizontal="center"/>
    </xf>
    <xf numFmtId="2" fontId="57" fillId="15" borderId="1" xfId="0" applyNumberFormat="1" applyFont="1" applyFill="1" applyBorder="1" applyAlignment="1">
      <alignment horizontal="center"/>
    </xf>
    <xf numFmtId="2" fontId="0" fillId="28" borderId="0" xfId="0" applyNumberFormat="1" applyFill="1"/>
    <xf numFmtId="2" fontId="9" fillId="28" borderId="0" xfId="0" applyNumberFormat="1" applyFont="1" applyFill="1"/>
    <xf numFmtId="2" fontId="53" fillId="28" borderId="0" xfId="0" applyNumberFormat="1" applyFont="1" applyFill="1"/>
    <xf numFmtId="2" fontId="10" fillId="7" borderId="1" xfId="0" applyNumberFormat="1" applyFont="1" applyFill="1" applyBorder="1" applyAlignment="1">
      <alignment horizontal="left" vertical="center"/>
    </xf>
    <xf numFmtId="2" fontId="0" fillId="29" borderId="0" xfId="0" applyNumberFormat="1" applyFill="1"/>
    <xf numFmtId="2" fontId="41" fillId="29" borderId="0" xfId="0" applyNumberFormat="1" applyFont="1" applyFill="1"/>
    <xf numFmtId="172" fontId="0" fillId="4" borderId="0" xfId="0" applyNumberFormat="1" applyFill="1"/>
    <xf numFmtId="2" fontId="41" fillId="29" borderId="0" xfId="0" applyNumberFormat="1" applyFont="1" applyFill="1" applyAlignment="1">
      <alignment horizontal="right"/>
    </xf>
    <xf numFmtId="168" fontId="9" fillId="30" borderId="0" xfId="3" applyNumberFormat="1" applyFont="1" applyFill="1" applyBorder="1" applyProtection="1"/>
    <xf numFmtId="2" fontId="9" fillId="4" borderId="1" xfId="0" quotePrefix="1" applyNumberFormat="1" applyFont="1" applyFill="1" applyBorder="1"/>
    <xf numFmtId="2" fontId="9" fillId="16" borderId="1" xfId="0" applyNumberFormat="1" applyFont="1" applyFill="1" applyBorder="1"/>
    <xf numFmtId="2" fontId="0" fillId="15" borderId="1" xfId="0" applyNumberFormat="1" applyFill="1" applyBorder="1"/>
    <xf numFmtId="2" fontId="10" fillId="4" borderId="0" xfId="0" applyNumberFormat="1" applyFont="1" applyFill="1"/>
    <xf numFmtId="2" fontId="0" fillId="4" borderId="6" xfId="0" applyNumberFormat="1" applyFill="1" applyBorder="1"/>
    <xf numFmtId="2" fontId="0" fillId="19" borderId="1" xfId="0" applyNumberFormat="1" applyFill="1" applyBorder="1" applyAlignment="1">
      <alignment horizontal="left" indent="1"/>
    </xf>
    <xf numFmtId="2" fontId="53" fillId="4" borderId="0" xfId="0" applyNumberFormat="1" applyFont="1" applyFill="1"/>
    <xf numFmtId="0" fontId="9" fillId="9" borderId="0" xfId="0" applyFont="1" applyFill="1"/>
    <xf numFmtId="165" fontId="9" fillId="2" borderId="1" xfId="0" applyNumberFormat="1" applyFont="1" applyFill="1" applyBorder="1" applyAlignment="1" applyProtection="1">
      <alignment horizontal="right"/>
      <protection locked="0"/>
    </xf>
    <xf numFmtId="2" fontId="9" fillId="4" borderId="1" xfId="0" applyNumberFormat="1" applyFont="1" applyFill="1" applyBorder="1" applyAlignment="1">
      <alignment horizontal="right"/>
    </xf>
    <xf numFmtId="1" fontId="0" fillId="4" borderId="1" xfId="0" applyNumberFormat="1" applyFill="1" applyBorder="1"/>
    <xf numFmtId="2" fontId="0" fillId="4" borderId="1" xfId="0" applyNumberFormat="1" applyFill="1" applyBorder="1" applyAlignment="1">
      <alignment horizontal="left"/>
    </xf>
    <xf numFmtId="1" fontId="0" fillId="4" borderId="1" xfId="0" applyNumberFormat="1" applyFill="1" applyBorder="1" applyAlignment="1">
      <alignment horizontal="left"/>
    </xf>
    <xf numFmtId="172" fontId="9" fillId="25" borderId="0" xfId="3" applyNumberFormat="1" applyFont="1" applyFill="1" applyBorder="1" applyAlignment="1">
      <alignment horizontal="right"/>
    </xf>
    <xf numFmtId="1" fontId="0" fillId="17" borderId="1" xfId="0" applyNumberFormat="1" applyFill="1" applyBorder="1" applyAlignment="1">
      <alignment horizontal="left"/>
    </xf>
    <xf numFmtId="2" fontId="53" fillId="19" borderId="0" xfId="0" applyNumberFormat="1" applyFont="1" applyFill="1"/>
    <xf numFmtId="165" fontId="52" fillId="33" borderId="0" xfId="0" applyNumberFormat="1" applyFont="1" applyFill="1" applyAlignment="1">
      <alignment horizontal="left"/>
    </xf>
    <xf numFmtId="2" fontId="10" fillId="24" borderId="10" xfId="0" applyNumberFormat="1" applyFont="1" applyFill="1" applyBorder="1" applyAlignment="1">
      <alignment horizontal="left"/>
    </xf>
    <xf numFmtId="2" fontId="10" fillId="19" borderId="0" xfId="0" applyNumberFormat="1" applyFont="1" applyFill="1" applyAlignment="1">
      <alignment horizontal="center"/>
    </xf>
    <xf numFmtId="0" fontId="0" fillId="10" borderId="0" xfId="0" applyFill="1" applyAlignment="1">
      <alignment horizontal="left"/>
    </xf>
    <xf numFmtId="2" fontId="10" fillId="34" borderId="14" xfId="0" applyNumberFormat="1" applyFont="1" applyFill="1" applyBorder="1" applyAlignment="1">
      <alignment horizontal="center"/>
    </xf>
    <xf numFmtId="2" fontId="10" fillId="34" borderId="13" xfId="0" applyNumberFormat="1" applyFont="1" applyFill="1" applyBorder="1" applyAlignment="1">
      <alignment horizontal="center"/>
    </xf>
    <xf numFmtId="2" fontId="0" fillId="34" borderId="0" xfId="0" applyNumberFormat="1" applyFill="1"/>
    <xf numFmtId="2" fontId="0" fillId="36" borderId="0" xfId="0" applyNumberFormat="1" applyFill="1"/>
    <xf numFmtId="3" fontId="0" fillId="24" borderId="0" xfId="0" applyNumberFormat="1" applyFill="1" applyAlignment="1">
      <alignment vertical="center"/>
    </xf>
    <xf numFmtId="3" fontId="0" fillId="24" borderId="0" xfId="0" applyNumberFormat="1" applyFill="1"/>
    <xf numFmtId="166" fontId="12" fillId="24" borderId="0" xfId="0" applyNumberFormat="1" applyFont="1" applyFill="1" applyAlignment="1">
      <alignment vertical="center"/>
    </xf>
    <xf numFmtId="2" fontId="9" fillId="24" borderId="0" xfId="0" applyNumberFormat="1" applyFont="1" applyFill="1" applyAlignment="1">
      <alignment vertical="center" wrapText="1"/>
    </xf>
    <xf numFmtId="2" fontId="9" fillId="24" borderId="6" xfId="0" applyNumberFormat="1" applyFont="1" applyFill="1" applyBorder="1" applyAlignment="1">
      <alignment vertical="center" wrapText="1"/>
    </xf>
    <xf numFmtId="2" fontId="0" fillId="24" borderId="4" xfId="0" applyNumberFormat="1" applyFill="1" applyBorder="1"/>
    <xf numFmtId="2" fontId="10" fillId="24" borderId="11" xfId="0" applyNumberFormat="1" applyFont="1" applyFill="1" applyBorder="1"/>
    <xf numFmtId="3" fontId="0" fillId="24" borderId="11" xfId="0" applyNumberFormat="1" applyFill="1" applyBorder="1"/>
    <xf numFmtId="2" fontId="0" fillId="24" borderId="5" xfId="0" applyNumberFormat="1" applyFill="1" applyBorder="1"/>
    <xf numFmtId="2" fontId="0" fillId="24" borderId="6" xfId="0" applyNumberFormat="1" applyFill="1" applyBorder="1"/>
    <xf numFmtId="2" fontId="0" fillId="39" borderId="0" xfId="0" applyNumberFormat="1" applyFill="1"/>
    <xf numFmtId="2" fontId="0" fillId="37" borderId="0" xfId="0" applyNumberFormat="1" applyFill="1"/>
    <xf numFmtId="2" fontId="0" fillId="24" borderId="7" xfId="0" applyNumberFormat="1" applyFill="1" applyBorder="1"/>
    <xf numFmtId="2" fontId="0" fillId="24" borderId="0" xfId="0" applyNumberFormat="1" applyFill="1" applyAlignment="1">
      <alignment horizontal="left"/>
    </xf>
    <xf numFmtId="2" fontId="0" fillId="24" borderId="0" xfId="0" applyNumberFormat="1" applyFill="1"/>
    <xf numFmtId="2" fontId="0" fillId="24" borderId="0" xfId="0" applyNumberFormat="1" applyFill="1" applyAlignment="1">
      <alignment vertical="center"/>
    </xf>
    <xf numFmtId="2" fontId="10" fillId="24" borderId="0" xfId="0" applyNumberFormat="1" applyFont="1" applyFill="1" applyAlignment="1">
      <alignment horizontal="center" vertical="center"/>
    </xf>
    <xf numFmtId="1" fontId="0" fillId="24" borderId="0" xfId="0" applyNumberFormat="1" applyFill="1" applyAlignment="1">
      <alignment vertical="center"/>
    </xf>
    <xf numFmtId="2" fontId="12" fillId="24" borderId="0" xfId="0" applyNumberFormat="1" applyFont="1" applyFill="1"/>
    <xf numFmtId="2" fontId="12" fillId="24" borderId="0" xfId="0" applyNumberFormat="1" applyFont="1" applyFill="1" applyAlignment="1">
      <alignment vertical="center"/>
    </xf>
    <xf numFmtId="2" fontId="18" fillId="24" borderId="0" xfId="0" applyNumberFormat="1" applyFont="1" applyFill="1"/>
    <xf numFmtId="2" fontId="19" fillId="24" borderId="0" xfId="0" applyNumberFormat="1" applyFont="1" applyFill="1" applyAlignment="1">
      <alignment horizontal="right"/>
    </xf>
    <xf numFmtId="2" fontId="9" fillId="24" borderId="0" xfId="0" applyNumberFormat="1" applyFont="1" applyFill="1" applyAlignment="1">
      <alignment horizontal="right" vertical="center"/>
    </xf>
    <xf numFmtId="2" fontId="0" fillId="24" borderId="0" xfId="0" applyNumberFormat="1" applyFill="1" applyAlignment="1">
      <alignment horizontal="right" vertical="center"/>
    </xf>
    <xf numFmtId="2" fontId="18" fillId="24" borderId="0" xfId="0" applyNumberFormat="1" applyFont="1" applyFill="1" applyAlignment="1">
      <alignment horizontal="center" vertical="center"/>
    </xf>
    <xf numFmtId="2" fontId="18" fillId="24" borderId="0" xfId="0" applyNumberFormat="1" applyFont="1" applyFill="1" applyAlignment="1">
      <alignment horizontal="right" vertical="center"/>
    </xf>
    <xf numFmtId="2" fontId="0" fillId="24" borderId="3" xfId="0" applyNumberFormat="1" applyFill="1" applyBorder="1"/>
    <xf numFmtId="2" fontId="0" fillId="24" borderId="11" xfId="0" applyNumberFormat="1" applyFill="1" applyBorder="1"/>
    <xf numFmtId="2" fontId="0" fillId="24" borderId="11" xfId="0" applyNumberFormat="1" applyFill="1" applyBorder="1" applyAlignment="1">
      <alignment horizontal="center"/>
    </xf>
    <xf numFmtId="2" fontId="0" fillId="24" borderId="0" xfId="0" applyNumberFormat="1" applyFill="1" applyAlignment="1">
      <alignment horizontal="center"/>
    </xf>
    <xf numFmtId="2" fontId="0" fillId="24" borderId="10" xfId="0" applyNumberFormat="1" applyFill="1" applyBorder="1" applyAlignment="1">
      <alignment horizontal="center"/>
    </xf>
    <xf numFmtId="165" fontId="9" fillId="43" borderId="1" xfId="0" applyNumberFormat="1" applyFont="1" applyFill="1" applyBorder="1" applyAlignment="1">
      <alignment horizontal="center"/>
    </xf>
    <xf numFmtId="3" fontId="0" fillId="43" borderId="1" xfId="0" applyNumberFormat="1" applyFill="1" applyBorder="1" applyAlignment="1">
      <alignment vertical="center"/>
    </xf>
    <xf numFmtId="167" fontId="0" fillId="43" borderId="1" xfId="0" applyNumberFormat="1" applyFill="1" applyBorder="1" applyAlignment="1">
      <alignment vertical="center"/>
    </xf>
    <xf numFmtId="3" fontId="9" fillId="43" borderId="1" xfId="0" applyNumberFormat="1" applyFont="1" applyFill="1" applyBorder="1" applyAlignment="1">
      <alignment vertical="center"/>
    </xf>
    <xf numFmtId="3" fontId="12" fillId="43" borderId="1" xfId="0" applyNumberFormat="1" applyFont="1" applyFill="1" applyBorder="1" applyAlignment="1">
      <alignment vertical="center"/>
    </xf>
    <xf numFmtId="167" fontId="12" fillId="43" borderId="1" xfId="0" applyNumberFormat="1" applyFont="1" applyFill="1" applyBorder="1" applyAlignment="1">
      <alignment vertical="center"/>
    </xf>
    <xf numFmtId="166" fontId="12" fillId="43" borderId="1" xfId="0" applyNumberFormat="1" applyFont="1" applyFill="1" applyBorder="1" applyAlignment="1">
      <alignment vertical="center"/>
    </xf>
    <xf numFmtId="2" fontId="10" fillId="24" borderId="0" xfId="0" applyNumberFormat="1" applyFont="1" applyFill="1" applyAlignment="1">
      <alignment horizontal="right"/>
    </xf>
    <xf numFmtId="2" fontId="10" fillId="24" borderId="0" xfId="0" applyNumberFormat="1" applyFont="1" applyFill="1" applyAlignment="1">
      <alignment horizontal="right" vertical="center"/>
    </xf>
    <xf numFmtId="2" fontId="10" fillId="24" borderId="7" xfId="0" applyNumberFormat="1" applyFont="1" applyFill="1" applyBorder="1" applyAlignment="1">
      <alignment horizontal="right" vertical="center"/>
    </xf>
    <xf numFmtId="168" fontId="0" fillId="23" borderId="22" xfId="3" applyNumberFormat="1" applyFont="1" applyFill="1" applyBorder="1" applyAlignment="1" applyProtection="1">
      <alignment horizontal="center" vertical="center"/>
      <protection locked="0"/>
    </xf>
    <xf numFmtId="2" fontId="0" fillId="34" borderId="12" xfId="0" applyNumberFormat="1" applyFill="1" applyBorder="1"/>
    <xf numFmtId="2" fontId="0" fillId="34" borderId="14" xfId="0" applyNumberFormat="1" applyFill="1" applyBorder="1"/>
    <xf numFmtId="2" fontId="0" fillId="34" borderId="13" xfId="0" applyNumberFormat="1" applyFill="1" applyBorder="1"/>
    <xf numFmtId="2" fontId="0" fillId="43" borderId="5" xfId="0" applyNumberFormat="1" applyFill="1" applyBorder="1" applyAlignment="1">
      <alignment vertical="center"/>
    </xf>
    <xf numFmtId="2" fontId="9" fillId="43" borderId="22" xfId="0" applyNumberFormat="1" applyFont="1" applyFill="1" applyBorder="1" applyAlignment="1">
      <alignment vertical="center"/>
    </xf>
    <xf numFmtId="2" fontId="64" fillId="24" borderId="14" xfId="0" applyNumberFormat="1" applyFont="1" applyFill="1" applyBorder="1"/>
    <xf numFmtId="2" fontId="41" fillId="24" borderId="14" xfId="0" applyNumberFormat="1" applyFont="1" applyFill="1" applyBorder="1" applyAlignment="1">
      <alignment horizontal="right"/>
    </xf>
    <xf numFmtId="2" fontId="41" fillId="24" borderId="13" xfId="0" applyNumberFormat="1" applyFont="1" applyFill="1" applyBorder="1" applyAlignment="1">
      <alignment horizontal="right"/>
    </xf>
    <xf numFmtId="2" fontId="10" fillId="34" borderId="12" xfId="0" applyNumberFormat="1" applyFont="1" applyFill="1" applyBorder="1"/>
    <xf numFmtId="2" fontId="10" fillId="34" borderId="14" xfId="0" applyNumberFormat="1" applyFont="1" applyFill="1" applyBorder="1"/>
    <xf numFmtId="2" fontId="10" fillId="34" borderId="14" xfId="0" applyNumberFormat="1" applyFont="1" applyFill="1" applyBorder="1" applyAlignment="1">
      <alignment vertical="center"/>
    </xf>
    <xf numFmtId="2" fontId="10" fillId="34" borderId="13" xfId="0" applyNumberFormat="1" applyFont="1" applyFill="1" applyBorder="1" applyAlignment="1">
      <alignment vertical="center"/>
    </xf>
    <xf numFmtId="1" fontId="65" fillId="42" borderId="7" xfId="0" applyNumberFormat="1" applyFont="1" applyFill="1" applyBorder="1" applyAlignment="1">
      <alignment horizontal="right" vertical="center"/>
    </xf>
    <xf numFmtId="2" fontId="0" fillId="24" borderId="2" xfId="0" applyNumberFormat="1" applyFill="1" applyBorder="1"/>
    <xf numFmtId="2" fontId="41" fillId="34" borderId="14" xfId="0" applyNumberFormat="1" applyFont="1" applyFill="1" applyBorder="1"/>
    <xf numFmtId="2" fontId="67" fillId="24" borderId="4" xfId="0" applyNumberFormat="1" applyFont="1" applyFill="1" applyBorder="1"/>
    <xf numFmtId="2" fontId="67" fillId="24" borderId="6" xfId="0" applyNumberFormat="1" applyFont="1" applyFill="1" applyBorder="1"/>
    <xf numFmtId="49" fontId="0" fillId="24" borderId="0" xfId="0" applyNumberFormat="1" applyFill="1"/>
    <xf numFmtId="2" fontId="67" fillId="24" borderId="2" xfId="0" applyNumberFormat="1" applyFont="1" applyFill="1" applyBorder="1"/>
    <xf numFmtId="49" fontId="0" fillId="24" borderId="10" xfId="0" applyNumberFormat="1" applyFill="1" applyBorder="1"/>
    <xf numFmtId="1" fontId="58" fillId="42" borderId="7" xfId="0" applyNumberFormat="1" applyFont="1" applyFill="1" applyBorder="1" applyAlignment="1">
      <alignment horizontal="right" vertical="center"/>
    </xf>
    <xf numFmtId="2" fontId="0" fillId="44" borderId="3" xfId="0" applyNumberFormat="1" applyFill="1" applyBorder="1"/>
    <xf numFmtId="2" fontId="39" fillId="34" borderId="14" xfId="0" applyNumberFormat="1" applyFont="1" applyFill="1" applyBorder="1"/>
    <xf numFmtId="2" fontId="0" fillId="34" borderId="14" xfId="0" applyNumberFormat="1" applyFill="1" applyBorder="1" applyAlignment="1">
      <alignment vertical="center"/>
    </xf>
    <xf numFmtId="2" fontId="10" fillId="34" borderId="14" xfId="0" applyNumberFormat="1" applyFont="1" applyFill="1" applyBorder="1" applyAlignment="1">
      <alignment horizontal="right" vertical="center"/>
    </xf>
    <xf numFmtId="43" fontId="0" fillId="43" borderId="1" xfId="3" applyFont="1" applyFill="1" applyBorder="1" applyAlignment="1" applyProtection="1">
      <alignment horizontal="right"/>
    </xf>
    <xf numFmtId="2" fontId="10" fillId="20" borderId="1" xfId="0" applyNumberFormat="1" applyFont="1" applyFill="1" applyBorder="1" applyAlignment="1">
      <alignment horizontal="center"/>
    </xf>
    <xf numFmtId="1" fontId="10" fillId="20" borderId="1" xfId="0" applyNumberFormat="1" applyFont="1" applyFill="1" applyBorder="1" applyAlignment="1">
      <alignment horizontal="center"/>
    </xf>
    <xf numFmtId="2" fontId="54" fillId="20" borderId="1" xfId="0" applyNumberFormat="1" applyFont="1" applyFill="1" applyBorder="1" applyAlignment="1">
      <alignment horizontal="center"/>
    </xf>
    <xf numFmtId="43" fontId="0" fillId="43" borderId="1" xfId="3" applyFont="1" applyFill="1" applyBorder="1" applyProtection="1"/>
    <xf numFmtId="2" fontId="0" fillId="43" borderId="1" xfId="0" applyNumberFormat="1" applyFill="1" applyBorder="1"/>
    <xf numFmtId="3" fontId="0" fillId="43" borderId="1" xfId="0" applyNumberFormat="1" applyFill="1" applyBorder="1" applyAlignment="1">
      <alignment horizontal="right"/>
    </xf>
    <xf numFmtId="167" fontId="9" fillId="43" borderId="1" xfId="0" applyNumberFormat="1" applyFont="1" applyFill="1" applyBorder="1" applyAlignment="1">
      <alignment horizontal="right"/>
    </xf>
    <xf numFmtId="167" fontId="0" fillId="43" borderId="1" xfId="0" applyNumberFormat="1" applyFill="1" applyBorder="1" applyAlignment="1">
      <alignment horizontal="right"/>
    </xf>
    <xf numFmtId="3" fontId="10" fillId="20" borderId="1" xfId="0" applyNumberFormat="1" applyFont="1" applyFill="1" applyBorder="1" applyAlignment="1">
      <alignment horizontal="right"/>
    </xf>
    <xf numFmtId="167" fontId="10" fillId="20" borderId="1" xfId="0" applyNumberFormat="1" applyFont="1" applyFill="1" applyBorder="1" applyAlignment="1">
      <alignment horizontal="right"/>
    </xf>
    <xf numFmtId="2" fontId="10" fillId="20" borderId="4" xfId="0" applyNumberFormat="1" applyFont="1" applyFill="1" applyBorder="1" applyAlignment="1">
      <alignment horizontal="center"/>
    </xf>
    <xf numFmtId="2" fontId="10" fillId="20" borderId="22" xfId="0" applyNumberFormat="1" applyFont="1" applyFill="1" applyBorder="1" applyAlignment="1">
      <alignment horizontal="center"/>
    </xf>
    <xf numFmtId="1" fontId="10" fillId="20" borderId="22" xfId="0" applyNumberFormat="1" applyFont="1" applyFill="1" applyBorder="1" applyAlignment="1">
      <alignment horizontal="center"/>
    </xf>
    <xf numFmtId="2" fontId="10" fillId="20" borderId="2" xfId="0" applyNumberFormat="1" applyFont="1" applyFill="1" applyBorder="1" applyAlignment="1">
      <alignment horizontal="center"/>
    </xf>
    <xf numFmtId="2" fontId="10" fillId="20" borderId="15" xfId="0" applyNumberFormat="1" applyFont="1" applyFill="1" applyBorder="1" applyAlignment="1">
      <alignment horizontal="center"/>
    </xf>
    <xf numFmtId="2" fontId="0" fillId="43" borderId="15" xfId="0" applyNumberFormat="1" applyFill="1" applyBorder="1"/>
    <xf numFmtId="2" fontId="10" fillId="20" borderId="3" xfId="0" applyNumberFormat="1" applyFont="1" applyFill="1" applyBorder="1" applyAlignment="1">
      <alignment horizontal="center"/>
    </xf>
    <xf numFmtId="165" fontId="10" fillId="20" borderId="1" xfId="0" applyNumberFormat="1" applyFont="1" applyFill="1" applyBorder="1" applyAlignment="1">
      <alignment horizontal="right"/>
    </xf>
    <xf numFmtId="1" fontId="58" fillId="38" borderId="7" xfId="0" applyNumberFormat="1" applyFont="1" applyFill="1" applyBorder="1" applyAlignment="1">
      <alignment horizontal="right" vertical="center"/>
    </xf>
    <xf numFmtId="1" fontId="58" fillId="41" borderId="7" xfId="0" applyNumberFormat="1" applyFont="1" applyFill="1" applyBorder="1" applyAlignment="1">
      <alignment horizontal="right" vertical="center"/>
    </xf>
    <xf numFmtId="2" fontId="0" fillId="24" borderId="10" xfId="0" applyNumberFormat="1" applyFill="1" applyBorder="1" applyAlignment="1">
      <alignment horizontal="right"/>
    </xf>
    <xf numFmtId="165" fontId="0" fillId="24" borderId="10" xfId="0" applyNumberFormat="1" applyFill="1" applyBorder="1" applyAlignment="1">
      <alignment horizontal="right"/>
    </xf>
    <xf numFmtId="2" fontId="10" fillId="20" borderId="5" xfId="0" applyNumberFormat="1" applyFont="1" applyFill="1" applyBorder="1" applyAlignment="1">
      <alignment horizontal="center"/>
    </xf>
    <xf numFmtId="1" fontId="0" fillId="24" borderId="6" xfId="0" applyNumberFormat="1" applyFill="1" applyBorder="1"/>
    <xf numFmtId="2" fontId="41" fillId="34" borderId="14" xfId="0" applyNumberFormat="1" applyFont="1" applyFill="1" applyBorder="1" applyAlignment="1">
      <alignment horizontal="center"/>
    </xf>
    <xf numFmtId="2" fontId="41" fillId="34" borderId="14" xfId="0" applyNumberFormat="1" applyFont="1" applyFill="1" applyBorder="1" applyAlignment="1">
      <alignment horizontal="left"/>
    </xf>
    <xf numFmtId="2" fontId="41" fillId="34" borderId="13" xfId="0" applyNumberFormat="1" applyFont="1" applyFill="1" applyBorder="1" applyAlignment="1">
      <alignment horizontal="center"/>
    </xf>
    <xf numFmtId="2" fontId="60" fillId="46" borderId="6" xfId="0" applyNumberFormat="1" applyFont="1" applyFill="1" applyBorder="1" applyAlignment="1">
      <alignment horizontal="left" vertical="center" indent="1"/>
    </xf>
    <xf numFmtId="2" fontId="0" fillId="15" borderId="6" xfId="0" applyNumberFormat="1" applyFill="1" applyBorder="1" applyAlignment="1">
      <alignment horizontal="left" indent="1"/>
    </xf>
    <xf numFmtId="2" fontId="0" fillId="43" borderId="0" xfId="0" applyNumberFormat="1" applyFill="1" applyAlignment="1">
      <alignment horizontal="left" indent="1"/>
    </xf>
    <xf numFmtId="2" fontId="0" fillId="43" borderId="7" xfId="0" applyNumberFormat="1" applyFill="1" applyBorder="1" applyAlignment="1">
      <alignment horizontal="left" indent="1"/>
    </xf>
    <xf numFmtId="2" fontId="0" fillId="43" borderId="0" xfId="0" applyNumberFormat="1" applyFill="1"/>
    <xf numFmtId="2" fontId="0" fillId="43" borderId="7" xfId="0" applyNumberFormat="1" applyFill="1" applyBorder="1"/>
    <xf numFmtId="2" fontId="0" fillId="43" borderId="10" xfId="0" applyNumberFormat="1" applyFill="1" applyBorder="1" applyAlignment="1">
      <alignment horizontal="left" indent="1"/>
    </xf>
    <xf numFmtId="2" fontId="0" fillId="43" borderId="3" xfId="0" applyNumberFormat="1" applyFill="1" applyBorder="1" applyAlignment="1">
      <alignment horizontal="left" indent="1"/>
    </xf>
    <xf numFmtId="2" fontId="0" fillId="20" borderId="11" xfId="0" applyNumberFormat="1" applyFill="1" applyBorder="1" applyAlignment="1">
      <alignment horizontal="center"/>
    </xf>
    <xf numFmtId="2" fontId="0" fillId="20" borderId="10" xfId="0" applyNumberFormat="1" applyFill="1" applyBorder="1" applyAlignment="1">
      <alignment horizontal="center"/>
    </xf>
    <xf numFmtId="3" fontId="10" fillId="20" borderId="15" xfId="0" applyNumberFormat="1" applyFont="1" applyFill="1" applyBorder="1" applyAlignment="1">
      <alignment horizontal="right"/>
    </xf>
    <xf numFmtId="167" fontId="10" fillId="20" borderId="15" xfId="0" applyNumberFormat="1" applyFont="1" applyFill="1" applyBorder="1" applyAlignment="1">
      <alignment horizontal="right"/>
    </xf>
    <xf numFmtId="171" fontId="0" fillId="43" borderId="15" xfId="3" applyNumberFormat="1" applyFont="1" applyFill="1" applyBorder="1" applyProtection="1"/>
    <xf numFmtId="171" fontId="0" fillId="43" borderId="1" xfId="3" applyNumberFormat="1" applyFont="1" applyFill="1" applyBorder="1" applyProtection="1"/>
    <xf numFmtId="167" fontId="0" fillId="43" borderId="15" xfId="0" applyNumberFormat="1" applyFill="1" applyBorder="1" applyAlignment="1">
      <alignment horizontal="right"/>
    </xf>
    <xf numFmtId="0" fontId="0" fillId="24" borderId="10" xfId="0" applyFill="1" applyBorder="1"/>
    <xf numFmtId="49" fontId="0" fillId="34" borderId="14" xfId="0" applyNumberFormat="1" applyFill="1" applyBorder="1"/>
    <xf numFmtId="2" fontId="41" fillId="34" borderId="12" xfId="0" applyNumberFormat="1" applyFont="1" applyFill="1" applyBorder="1" applyAlignment="1">
      <alignment horizontal="left"/>
    </xf>
    <xf numFmtId="2" fontId="10" fillId="20" borderId="13" xfId="0" applyNumberFormat="1" applyFont="1" applyFill="1" applyBorder="1" applyAlignment="1">
      <alignment horizontal="center"/>
    </xf>
    <xf numFmtId="2" fontId="41" fillId="34" borderId="11" xfId="0" applyNumberFormat="1" applyFont="1" applyFill="1" applyBorder="1"/>
    <xf numFmtId="2" fontId="68" fillId="39" borderId="7" xfId="0" applyNumberFormat="1" applyFont="1" applyFill="1" applyBorder="1"/>
    <xf numFmtId="0" fontId="9" fillId="6" borderId="15" xfId="0" applyFont="1" applyFill="1" applyBorder="1" applyAlignment="1" applyProtection="1">
      <alignment horizontal="left"/>
      <protection locked="0"/>
    </xf>
    <xf numFmtId="167" fontId="63" fillId="43" borderId="1" xfId="0" applyNumberFormat="1" applyFont="1" applyFill="1" applyBorder="1" applyAlignment="1">
      <alignment horizontal="right"/>
    </xf>
    <xf numFmtId="2" fontId="64" fillId="34" borderId="12" xfId="0" applyNumberFormat="1" applyFont="1" applyFill="1" applyBorder="1"/>
    <xf numFmtId="2" fontId="64" fillId="34" borderId="14" xfId="0" applyNumberFormat="1" applyFont="1" applyFill="1" applyBorder="1"/>
    <xf numFmtId="2" fontId="64" fillId="34" borderId="14" xfId="0" applyNumberFormat="1" applyFont="1" applyFill="1" applyBorder="1" applyAlignment="1">
      <alignment vertical="center"/>
    </xf>
    <xf numFmtId="2" fontId="64" fillId="34" borderId="13" xfId="0" applyNumberFormat="1" applyFont="1" applyFill="1" applyBorder="1"/>
    <xf numFmtId="2" fontId="9" fillId="24" borderId="6" xfId="0" applyNumberFormat="1" applyFont="1" applyFill="1" applyBorder="1"/>
    <xf numFmtId="2" fontId="9" fillId="24" borderId="4" xfId="0" applyNumberFormat="1" applyFont="1" applyFill="1" applyBorder="1"/>
    <xf numFmtId="2" fontId="9" fillId="24" borderId="2" xfId="0" applyNumberFormat="1" applyFont="1" applyFill="1" applyBorder="1"/>
    <xf numFmtId="49" fontId="64" fillId="34" borderId="14" xfId="0" applyNumberFormat="1" applyFont="1" applyFill="1" applyBorder="1"/>
    <xf numFmtId="49" fontId="10" fillId="20" borderId="22" xfId="0" applyNumberFormat="1" applyFont="1" applyFill="1" applyBorder="1" applyAlignment="1">
      <alignment horizontal="center"/>
    </xf>
    <xf numFmtId="2" fontId="10" fillId="20" borderId="11" xfId="0" applyNumberFormat="1" applyFont="1" applyFill="1" applyBorder="1" applyAlignment="1">
      <alignment horizontal="center"/>
    </xf>
    <xf numFmtId="49" fontId="10" fillId="20" borderId="15" xfId="0" applyNumberFormat="1" applyFont="1" applyFill="1" applyBorder="1" applyAlignment="1">
      <alignment horizontal="center"/>
    </xf>
    <xf numFmtId="2" fontId="10" fillId="20" borderId="10" xfId="0" applyNumberFormat="1" applyFont="1" applyFill="1" applyBorder="1" applyAlignment="1">
      <alignment horizontal="center"/>
    </xf>
    <xf numFmtId="2" fontId="0" fillId="24" borderId="5" xfId="0" applyNumberFormat="1" applyFill="1" applyBorder="1" applyAlignment="1">
      <alignment horizontal="left"/>
    </xf>
    <xf numFmtId="2" fontId="0" fillId="24" borderId="7" xfId="0" applyNumberFormat="1" applyFill="1" applyBorder="1" applyAlignment="1">
      <alignment horizontal="left" wrapText="1"/>
    </xf>
    <xf numFmtId="3" fontId="10" fillId="48" borderId="1" xfId="0" applyNumberFormat="1" applyFont="1" applyFill="1" applyBorder="1" applyAlignment="1">
      <alignment horizontal="right"/>
    </xf>
    <xf numFmtId="2" fontId="0" fillId="34" borderId="4" xfId="0" applyNumberFormat="1" applyFill="1" applyBorder="1"/>
    <xf numFmtId="2" fontId="0" fillId="34" borderId="11" xfId="0" applyNumberFormat="1" applyFill="1" applyBorder="1"/>
    <xf numFmtId="2" fontId="0" fillId="34" borderId="11" xfId="0" applyNumberFormat="1" applyFill="1" applyBorder="1" applyAlignment="1">
      <alignment vertical="center"/>
    </xf>
    <xf numFmtId="49" fontId="0" fillId="34" borderId="11" xfId="0" applyNumberFormat="1" applyFill="1" applyBorder="1"/>
    <xf numFmtId="2" fontId="0" fillId="34" borderId="5" xfId="0" applyNumberFormat="1" applyFill="1" applyBorder="1"/>
    <xf numFmtId="0" fontId="10" fillId="44" borderId="0" xfId="0" applyFont="1" applyFill="1"/>
    <xf numFmtId="2" fontId="9" fillId="24" borderId="0" xfId="0" applyNumberFormat="1" applyFont="1" applyFill="1"/>
    <xf numFmtId="44" fontId="0" fillId="24" borderId="0" xfId="9" applyFont="1" applyFill="1" applyBorder="1" applyProtection="1"/>
    <xf numFmtId="44" fontId="0" fillId="44" borderId="0" xfId="9" applyFont="1" applyFill="1" applyBorder="1"/>
    <xf numFmtId="0" fontId="22" fillId="44" borderId="0" xfId="0" applyFont="1" applyFill="1" applyAlignment="1">
      <alignment horizontal="left" indent="1"/>
    </xf>
    <xf numFmtId="2" fontId="10" fillId="24" borderId="0" xfId="0" applyNumberFormat="1" applyFont="1" applyFill="1" applyAlignment="1">
      <alignment horizontal="left" vertical="center"/>
    </xf>
    <xf numFmtId="0" fontId="22" fillId="44" borderId="10" xfId="0" applyFont="1" applyFill="1" applyBorder="1" applyAlignment="1">
      <alignment horizontal="left" indent="1"/>
    </xf>
    <xf numFmtId="0" fontId="0" fillId="44" borderId="0" xfId="0" applyFill="1"/>
    <xf numFmtId="0" fontId="9" fillId="44" borderId="0" xfId="0" applyFont="1" applyFill="1"/>
    <xf numFmtId="0" fontId="0" fillId="44" borderId="0" xfId="0" applyFill="1" applyAlignment="1">
      <alignment horizontal="center"/>
    </xf>
    <xf numFmtId="168" fontId="0" fillId="24" borderId="0" xfId="3" applyNumberFormat="1" applyFont="1" applyFill="1" applyBorder="1" applyProtection="1"/>
    <xf numFmtId="2" fontId="0" fillId="24" borderId="0" xfId="0" applyNumberFormat="1" applyFill="1" applyProtection="1">
      <protection locked="0"/>
    </xf>
    <xf numFmtId="2" fontId="0" fillId="24" borderId="10" xfId="0" applyNumberFormat="1" applyFill="1" applyBorder="1" applyProtection="1">
      <protection locked="0"/>
    </xf>
    <xf numFmtId="1" fontId="9" fillId="49" borderId="0" xfId="0" applyNumberFormat="1" applyFont="1" applyFill="1" applyAlignment="1">
      <alignment horizontal="left" vertical="center"/>
    </xf>
    <xf numFmtId="44" fontId="0" fillId="44" borderId="0" xfId="9" applyFont="1" applyFill="1" applyBorder="1" applyAlignment="1">
      <alignment horizontal="right"/>
    </xf>
    <xf numFmtId="168" fontId="0" fillId="44" borderId="0" xfId="3" applyNumberFormat="1" applyFont="1" applyFill="1" applyBorder="1" applyAlignment="1">
      <alignment horizontal="right"/>
    </xf>
    <xf numFmtId="168" fontId="0" fillId="44" borderId="0" xfId="3" applyNumberFormat="1" applyFont="1" applyFill="1" applyBorder="1"/>
    <xf numFmtId="168" fontId="0" fillId="27" borderId="1" xfId="3" applyNumberFormat="1" applyFont="1" applyFill="1" applyBorder="1" applyAlignment="1">
      <alignment horizontal="right"/>
    </xf>
    <xf numFmtId="168" fontId="0" fillId="27" borderId="1" xfId="3" applyNumberFormat="1" applyFont="1" applyFill="1" applyBorder="1"/>
    <xf numFmtId="168" fontId="10" fillId="21" borderId="1" xfId="3" applyNumberFormat="1" applyFont="1" applyFill="1" applyBorder="1"/>
    <xf numFmtId="2" fontId="0" fillId="4" borderId="2" xfId="0" applyNumberFormat="1" applyFill="1" applyBorder="1"/>
    <xf numFmtId="1" fontId="0" fillId="4" borderId="0" xfId="0" applyNumberFormat="1" applyFill="1" applyAlignment="1">
      <alignment horizontal="right"/>
    </xf>
    <xf numFmtId="2" fontId="9" fillId="8" borderId="1" xfId="0" applyNumberFormat="1" applyFont="1" applyFill="1" applyBorder="1" applyAlignment="1">
      <alignment vertical="center"/>
    </xf>
    <xf numFmtId="2" fontId="9" fillId="50" borderId="1" xfId="0" applyNumberFormat="1" applyFont="1" applyFill="1" applyBorder="1"/>
    <xf numFmtId="2" fontId="9" fillId="50" borderId="1" xfId="0" applyNumberFormat="1" applyFont="1" applyFill="1" applyBorder="1" applyAlignment="1">
      <alignment vertical="center"/>
    </xf>
    <xf numFmtId="43" fontId="9" fillId="4" borderId="1" xfId="3" applyFont="1" applyFill="1" applyBorder="1" applyProtection="1"/>
    <xf numFmtId="2" fontId="9" fillId="7" borderId="1" xfId="0" applyNumberFormat="1" applyFont="1" applyFill="1" applyBorder="1" applyAlignment="1">
      <alignment horizontal="left"/>
    </xf>
    <xf numFmtId="172" fontId="0" fillId="7" borderId="1" xfId="3" applyNumberFormat="1" applyFont="1" applyFill="1" applyBorder="1" applyProtection="1"/>
    <xf numFmtId="172" fontId="0" fillId="7" borderId="1" xfId="3" applyNumberFormat="1" applyFont="1" applyFill="1" applyBorder="1" applyAlignment="1" applyProtection="1">
      <alignment horizontal="center"/>
    </xf>
    <xf numFmtId="172" fontId="9" fillId="7" borderId="1" xfId="3" applyNumberFormat="1" applyFont="1" applyFill="1" applyBorder="1" applyProtection="1"/>
    <xf numFmtId="2" fontId="9" fillId="4" borderId="6" xfId="0" applyNumberFormat="1" applyFont="1" applyFill="1" applyBorder="1"/>
    <xf numFmtId="2" fontId="9" fillId="16" borderId="1" xfId="0" applyNumberFormat="1" applyFont="1" applyFill="1" applyBorder="1" applyAlignment="1">
      <alignment vertical="center"/>
    </xf>
    <xf numFmtId="172" fontId="0" fillId="16" borderId="1" xfId="3" applyNumberFormat="1" applyFont="1" applyFill="1" applyBorder="1" applyAlignment="1" applyProtection="1">
      <alignment horizontal="center"/>
    </xf>
    <xf numFmtId="2" fontId="9" fillId="16" borderId="1" xfId="0" applyNumberFormat="1" applyFont="1" applyFill="1" applyBorder="1" applyAlignment="1">
      <alignment horizontal="left"/>
    </xf>
    <xf numFmtId="2" fontId="0" fillId="4" borderId="13" xfId="0" applyNumberFormat="1" applyFill="1" applyBorder="1"/>
    <xf numFmtId="165" fontId="10" fillId="15" borderId="1" xfId="0" applyNumberFormat="1" applyFont="1" applyFill="1" applyBorder="1" applyAlignment="1">
      <alignment horizontal="center"/>
    </xf>
    <xf numFmtId="165" fontId="0" fillId="4" borderId="1" xfId="0" applyNumberFormat="1" applyFill="1" applyBorder="1"/>
    <xf numFmtId="166" fontId="0" fillId="4" borderId="1" xfId="0" applyNumberFormat="1" applyFill="1" applyBorder="1" applyAlignment="1">
      <alignment horizontal="left"/>
    </xf>
    <xf numFmtId="43" fontId="9" fillId="4" borderId="1" xfId="3" applyFont="1" applyFill="1" applyBorder="1" applyAlignment="1" applyProtection="1">
      <alignment vertical="center"/>
    </xf>
    <xf numFmtId="2" fontId="37" fillId="23" borderId="1" xfId="0" applyNumberFormat="1" applyFont="1" applyFill="1" applyBorder="1" applyAlignment="1" applyProtection="1">
      <alignment vertical="center"/>
      <protection locked="0"/>
    </xf>
    <xf numFmtId="172" fontId="9" fillId="7" borderId="1" xfId="3" applyNumberFormat="1" applyFont="1" applyFill="1" applyBorder="1" applyAlignment="1" applyProtection="1">
      <alignment horizontal="center"/>
    </xf>
    <xf numFmtId="166" fontId="0" fillId="4" borderId="13" xfId="0" applyNumberFormat="1" applyFill="1" applyBorder="1" applyAlignment="1">
      <alignment horizontal="left"/>
    </xf>
    <xf numFmtId="166" fontId="0" fillId="7" borderId="22" xfId="0" applyNumberFormat="1" applyFill="1" applyBorder="1" applyAlignment="1">
      <alignment horizontal="center"/>
    </xf>
    <xf numFmtId="166" fontId="9" fillId="7" borderId="22" xfId="0" applyNumberFormat="1" applyFont="1" applyFill="1" applyBorder="1" applyAlignment="1">
      <alignment horizontal="left"/>
    </xf>
    <xf numFmtId="166" fontId="9" fillId="7" borderId="1" xfId="0" applyNumberFormat="1" applyFont="1" applyFill="1" applyBorder="1" applyAlignment="1">
      <alignment horizontal="left"/>
    </xf>
    <xf numFmtId="166" fontId="0" fillId="7" borderId="1" xfId="0" applyNumberFormat="1" applyFill="1" applyBorder="1" applyAlignment="1">
      <alignment horizontal="center"/>
    </xf>
    <xf numFmtId="2" fontId="9" fillId="4" borderId="0" xfId="0" applyNumberFormat="1" applyFont="1" applyFill="1" applyAlignment="1">
      <alignment vertical="center"/>
    </xf>
    <xf numFmtId="166" fontId="0" fillId="4" borderId="0" xfId="0" applyNumberFormat="1" applyFill="1" applyAlignment="1">
      <alignment horizontal="left"/>
    </xf>
    <xf numFmtId="2" fontId="0" fillId="19" borderId="0" xfId="0" applyNumberFormat="1" applyFill="1" applyAlignment="1">
      <alignment horizontal="left" indent="1"/>
    </xf>
    <xf numFmtId="2" fontId="9" fillId="4" borderId="1" xfId="0" applyNumberFormat="1" applyFont="1" applyFill="1" applyBorder="1" applyAlignment="1">
      <alignment horizontal="right" indent="1"/>
    </xf>
    <xf numFmtId="166" fontId="0" fillId="17" borderId="1" xfId="0" applyNumberFormat="1" applyFill="1" applyBorder="1"/>
    <xf numFmtId="2" fontId="9" fillId="4" borderId="12" xfId="0" applyNumberFormat="1" applyFont="1" applyFill="1" applyBorder="1"/>
    <xf numFmtId="2" fontId="0" fillId="55" borderId="0" xfId="0" applyNumberFormat="1" applyFill="1"/>
    <xf numFmtId="2" fontId="0" fillId="55" borderId="1" xfId="0" applyNumberFormat="1" applyFill="1" applyBorder="1"/>
    <xf numFmtId="1" fontId="0" fillId="55" borderId="0" xfId="0" applyNumberFormat="1" applyFill="1"/>
    <xf numFmtId="1" fontId="9" fillId="4" borderId="0" xfId="0" applyNumberFormat="1" applyFont="1" applyFill="1" applyAlignment="1">
      <alignment horizontal="left"/>
    </xf>
    <xf numFmtId="1" fontId="9" fillId="6" borderId="1" xfId="0" applyNumberFormat="1" applyFont="1" applyFill="1" applyBorder="1" applyAlignment="1" applyProtection="1">
      <alignment horizontal="center"/>
      <protection locked="0"/>
    </xf>
    <xf numFmtId="172" fontId="0" fillId="43" borderId="1" xfId="3" applyNumberFormat="1" applyFont="1" applyFill="1" applyBorder="1" applyAlignment="1" applyProtection="1">
      <alignment horizontal="right"/>
    </xf>
    <xf numFmtId="43" fontId="0" fillId="43" borderId="1" xfId="3" applyFont="1" applyFill="1" applyBorder="1" applyAlignment="1" applyProtection="1">
      <alignment horizontal="left"/>
    </xf>
    <xf numFmtId="2" fontId="10" fillId="24" borderId="11" xfId="0" applyNumberFormat="1" applyFont="1" applyFill="1" applyBorder="1" applyAlignment="1">
      <alignment horizontal="right" indent="1"/>
    </xf>
    <xf numFmtId="0" fontId="0" fillId="10" borderId="5" xfId="0" applyFill="1" applyBorder="1" applyProtection="1">
      <protection locked="0"/>
    </xf>
    <xf numFmtId="0" fontId="0" fillId="10" borderId="7" xfId="0" applyFill="1" applyBorder="1" applyProtection="1">
      <protection locked="0"/>
    </xf>
    <xf numFmtId="0" fontId="0" fillId="10" borderId="7" xfId="0" applyFill="1" applyBorder="1" applyAlignment="1" applyProtection="1">
      <alignment horizontal="left"/>
      <protection locked="0"/>
    </xf>
    <xf numFmtId="0" fontId="9" fillId="10" borderId="7" xfId="0" applyFont="1" applyFill="1" applyBorder="1" applyProtection="1">
      <protection locked="0"/>
    </xf>
    <xf numFmtId="0" fontId="9" fillId="0" borderId="4" xfId="0" applyFont="1" applyBorder="1" applyAlignment="1">
      <alignment horizontal="right"/>
    </xf>
    <xf numFmtId="0" fontId="9" fillId="0" borderId="6" xfId="0" applyFont="1" applyBorder="1" applyAlignment="1">
      <alignment horizontal="right"/>
    </xf>
    <xf numFmtId="173" fontId="0" fillId="10" borderId="7" xfId="0" applyNumberFormat="1" applyFill="1" applyBorder="1" applyAlignment="1" applyProtection="1">
      <alignment horizontal="left"/>
      <protection locked="0"/>
    </xf>
    <xf numFmtId="0" fontId="16" fillId="12" borderId="10" xfId="0" applyFont="1" applyFill="1" applyBorder="1"/>
    <xf numFmtId="2" fontId="16" fillId="12" borderId="10" xfId="0" applyNumberFormat="1" applyFont="1" applyFill="1" applyBorder="1"/>
    <xf numFmtId="0" fontId="9" fillId="0" borderId="2" xfId="0" applyFont="1" applyBorder="1" applyAlignment="1">
      <alignment horizontal="right"/>
    </xf>
    <xf numFmtId="0" fontId="9" fillId="10" borderId="3" xfId="0" applyFont="1" applyFill="1" applyBorder="1" applyProtection="1">
      <protection locked="0"/>
    </xf>
    <xf numFmtId="43" fontId="73" fillId="13" borderId="10" xfId="3" applyFont="1" applyFill="1" applyBorder="1" applyAlignment="1" applyProtection="1">
      <protection locked="0"/>
    </xf>
    <xf numFmtId="2" fontId="10" fillId="14" borderId="0" xfId="0" applyNumberFormat="1" applyFont="1" applyFill="1"/>
    <xf numFmtId="2" fontId="0" fillId="0" borderId="1" xfId="0" applyNumberFormat="1" applyBorder="1" applyAlignment="1">
      <alignment horizontal="right"/>
    </xf>
    <xf numFmtId="168" fontId="0" fillId="27" borderId="1" xfId="3" applyNumberFormat="1" applyFont="1" applyFill="1" applyBorder="1" applyAlignment="1">
      <alignment horizontal="left"/>
    </xf>
    <xf numFmtId="2" fontId="0" fillId="0" borderId="1" xfId="0" applyNumberFormat="1" applyBorder="1" applyAlignment="1">
      <alignment horizontal="left"/>
    </xf>
    <xf numFmtId="165" fontId="10" fillId="5" borderId="0" xfId="0" applyNumberFormat="1" applyFont="1" applyFill="1"/>
    <xf numFmtId="165" fontId="12" fillId="2" borderId="1" xfId="0" applyNumberFormat="1" applyFont="1" applyFill="1" applyBorder="1" applyAlignment="1" applyProtection="1">
      <alignment horizontal="left"/>
      <protection locked="0"/>
    </xf>
    <xf numFmtId="2" fontId="74" fillId="31" borderId="0" xfId="0" applyNumberFormat="1" applyFont="1" applyFill="1"/>
    <xf numFmtId="2" fontId="75" fillId="11" borderId="0" xfId="0" applyNumberFormat="1" applyFont="1" applyFill="1" applyAlignment="1">
      <alignment vertical="center"/>
    </xf>
    <xf numFmtId="2" fontId="71" fillId="11" borderId="0" xfId="0" applyNumberFormat="1" applyFont="1" applyFill="1"/>
    <xf numFmtId="2" fontId="74" fillId="40" borderId="0" xfId="0" applyNumberFormat="1" applyFont="1" applyFill="1"/>
    <xf numFmtId="1" fontId="76" fillId="40" borderId="0" xfId="0" applyNumberFormat="1" applyFont="1" applyFill="1" applyAlignment="1">
      <alignment horizontal="right" vertical="center"/>
    </xf>
    <xf numFmtId="2" fontId="71" fillId="19" borderId="0" xfId="0" applyNumberFormat="1" applyFont="1" applyFill="1"/>
    <xf numFmtId="2" fontId="71" fillId="45" borderId="0" xfId="0" applyNumberFormat="1" applyFont="1" applyFill="1"/>
    <xf numFmtId="1" fontId="77" fillId="32" borderId="0" xfId="0" applyNumberFormat="1" applyFont="1" applyFill="1" applyAlignment="1">
      <alignment horizontal="right" vertical="center"/>
    </xf>
    <xf numFmtId="44" fontId="71" fillId="19" borderId="0" xfId="9" applyFont="1" applyFill="1" applyProtection="1"/>
    <xf numFmtId="2" fontId="71" fillId="19" borderId="0" xfId="0" applyNumberFormat="1" applyFont="1" applyFill="1" applyAlignment="1">
      <alignment horizontal="right"/>
    </xf>
    <xf numFmtId="1" fontId="58" fillId="38" borderId="7" xfId="0" applyNumberFormat="1" applyFont="1" applyFill="1" applyBorder="1" applyAlignment="1">
      <alignment horizontal="left" vertical="center"/>
    </xf>
    <xf numFmtId="165" fontId="10" fillId="5" borderId="0" xfId="0" applyNumberFormat="1" applyFont="1" applyFill="1" applyAlignment="1">
      <alignment horizontal="right"/>
    </xf>
    <xf numFmtId="165" fontId="10" fillId="5" borderId="0" xfId="0" applyNumberFormat="1" applyFont="1" applyFill="1" applyAlignment="1">
      <alignment horizontal="left"/>
    </xf>
    <xf numFmtId="164" fontId="10" fillId="5" borderId="0" xfId="0" applyNumberFormat="1" applyFont="1" applyFill="1" applyAlignment="1">
      <alignment horizontal="left"/>
    </xf>
    <xf numFmtId="165" fontId="10" fillId="5" borderId="0" xfId="0" applyNumberFormat="1" applyFont="1" applyFill="1" applyAlignment="1">
      <alignment horizontal="center"/>
    </xf>
    <xf numFmtId="165" fontId="0" fillId="11" borderId="1" xfId="0" applyNumberFormat="1" applyFill="1" applyBorder="1" applyProtection="1">
      <protection locked="0"/>
    </xf>
    <xf numFmtId="1" fontId="58" fillId="42" borderId="7" xfId="0" applyNumberFormat="1" applyFont="1" applyFill="1" applyBorder="1" applyAlignment="1">
      <alignment horizontal="left" vertical="center"/>
    </xf>
    <xf numFmtId="165" fontId="19" fillId="5" borderId="0" xfId="0" applyNumberFormat="1" applyFont="1" applyFill="1" applyAlignment="1">
      <alignment horizontal="center"/>
    </xf>
    <xf numFmtId="0" fontId="9" fillId="6" borderId="1" xfId="0" applyFont="1" applyFill="1" applyBorder="1" applyAlignment="1" applyProtection="1">
      <alignment horizontal="left"/>
      <protection locked="0"/>
    </xf>
    <xf numFmtId="165" fontId="9" fillId="11" borderId="1" xfId="0" applyNumberFormat="1" applyFont="1" applyFill="1" applyBorder="1" applyAlignment="1" applyProtection="1">
      <alignment horizontal="left"/>
      <protection locked="0"/>
    </xf>
    <xf numFmtId="165" fontId="9" fillId="11" borderId="1" xfId="0" applyNumberFormat="1" applyFont="1" applyFill="1" applyBorder="1" applyAlignment="1" applyProtection="1">
      <alignment horizontal="center"/>
      <protection locked="0"/>
    </xf>
    <xf numFmtId="165" fontId="12" fillId="5" borderId="0" xfId="0" applyNumberFormat="1" applyFont="1" applyFill="1" applyProtection="1">
      <protection locked="0"/>
    </xf>
    <xf numFmtId="2" fontId="60" fillId="39" borderId="0" xfId="0" applyNumberFormat="1" applyFont="1" applyFill="1"/>
    <xf numFmtId="3" fontId="0" fillId="57" borderId="0" xfId="0" applyNumberFormat="1" applyFill="1" applyAlignment="1">
      <alignment vertical="center"/>
    </xf>
    <xf numFmtId="166" fontId="10" fillId="20" borderId="1" xfId="0" applyNumberFormat="1" applyFont="1" applyFill="1" applyBorder="1" applyAlignment="1">
      <alignment horizontal="center" wrapText="1"/>
    </xf>
    <xf numFmtId="0" fontId="71" fillId="0" borderId="31" xfId="0" applyFont="1" applyBorder="1" applyAlignment="1">
      <alignment vertical="center" wrapText="1"/>
    </xf>
    <xf numFmtId="2" fontId="9" fillId="4" borderId="0" xfId="0" applyNumberFormat="1" applyFont="1" applyFill="1" applyAlignment="1">
      <alignment horizontal="center" wrapText="1"/>
    </xf>
    <xf numFmtId="2" fontId="0" fillId="4" borderId="4" xfId="0" applyNumberFormat="1" applyFill="1" applyBorder="1"/>
    <xf numFmtId="166" fontId="10" fillId="20" borderId="1" xfId="0" applyNumberFormat="1" applyFont="1" applyFill="1" applyBorder="1" applyAlignment="1">
      <alignment wrapText="1"/>
    </xf>
    <xf numFmtId="0" fontId="75" fillId="59" borderId="1" xfId="0" applyFont="1" applyFill="1" applyBorder="1" applyAlignment="1">
      <alignment horizontal="left" vertical="center" wrapText="1" indent="2"/>
    </xf>
    <xf numFmtId="0" fontId="75" fillId="59" borderId="1" xfId="0" applyFont="1" applyFill="1" applyBorder="1" applyAlignment="1">
      <alignment horizontal="left" vertical="center" wrapText="1" indent="1"/>
    </xf>
    <xf numFmtId="0" fontId="78" fillId="59" borderId="1" xfId="0" applyFont="1" applyFill="1" applyBorder="1" applyAlignment="1">
      <alignment vertical="center" wrapText="1"/>
    </xf>
    <xf numFmtId="0" fontId="10" fillId="0" borderId="0" xfId="0" applyFont="1" applyAlignment="1">
      <alignment horizontal="left" vertical="center"/>
    </xf>
    <xf numFmtId="0" fontId="0" fillId="0" borderId="0" xfId="0" applyAlignment="1">
      <alignment horizontal="left"/>
    </xf>
    <xf numFmtId="0" fontId="75" fillId="59" borderId="1" xfId="0" applyFont="1" applyFill="1" applyBorder="1" applyAlignment="1">
      <alignment horizontal="center" vertical="center" wrapText="1"/>
    </xf>
    <xf numFmtId="1" fontId="0" fillId="0" borderId="0" xfId="0" applyNumberFormat="1" applyAlignment="1">
      <alignment horizontal="left"/>
    </xf>
    <xf numFmtId="1" fontId="0" fillId="0" borderId="0" xfId="0" applyNumberFormat="1"/>
    <xf numFmtId="1" fontId="0" fillId="17" borderId="0" xfId="0" applyNumberFormat="1" applyFill="1"/>
    <xf numFmtId="2" fontId="0" fillId="7" borderId="22" xfId="0" applyNumberFormat="1" applyFill="1" applyBorder="1"/>
    <xf numFmtId="2" fontId="9" fillId="7" borderId="23" xfId="0" applyNumberFormat="1" applyFont="1" applyFill="1" applyBorder="1"/>
    <xf numFmtId="2" fontId="9" fillId="7" borderId="15" xfId="0" applyNumberFormat="1" applyFont="1" applyFill="1" applyBorder="1"/>
    <xf numFmtId="165" fontId="0" fillId="4" borderId="1" xfId="0" applyNumberFormat="1" applyFill="1" applyBorder="1" applyAlignment="1">
      <alignment horizontal="center"/>
    </xf>
    <xf numFmtId="165" fontId="0" fillId="0" borderId="1" xfId="0" applyNumberFormat="1" applyBorder="1" applyAlignment="1">
      <alignment horizontal="center"/>
    </xf>
    <xf numFmtId="2" fontId="9" fillId="8" borderId="1" xfId="0" applyNumberFormat="1" applyFont="1" applyFill="1" applyBorder="1"/>
    <xf numFmtId="2" fontId="9" fillId="4" borderId="0" xfId="0" applyNumberFormat="1" applyFont="1" applyFill="1" applyAlignment="1">
      <alignment horizontal="left" wrapText="1" indent="1"/>
    </xf>
    <xf numFmtId="2" fontId="0" fillId="4" borderId="23" xfId="0" applyNumberFormat="1" applyFill="1" applyBorder="1"/>
    <xf numFmtId="2" fontId="0" fillId="4" borderId="15" xfId="0" applyNumberFormat="1" applyFill="1" applyBorder="1"/>
    <xf numFmtId="1" fontId="0" fillId="61" borderId="1" xfId="0" applyNumberFormat="1" applyFill="1" applyBorder="1"/>
    <xf numFmtId="2" fontId="37" fillId="7" borderId="1" xfId="0" applyNumberFormat="1" applyFont="1" applyFill="1" applyBorder="1"/>
    <xf numFmtId="2" fontId="39" fillId="28" borderId="0" xfId="0" applyNumberFormat="1" applyFont="1" applyFill="1" applyAlignment="1">
      <alignment horizontal="right"/>
    </xf>
    <xf numFmtId="166" fontId="0" fillId="43" borderId="1" xfId="0" applyNumberFormat="1" applyFill="1" applyBorder="1" applyAlignment="1">
      <alignment horizontal="center" vertical="center"/>
    </xf>
    <xf numFmtId="2" fontId="0" fillId="62" borderId="0" xfId="0" applyNumberFormat="1" applyFill="1"/>
    <xf numFmtId="2" fontId="9" fillId="62" borderId="0" xfId="0" applyNumberFormat="1" applyFont="1" applyFill="1"/>
    <xf numFmtId="2" fontId="58" fillId="62" borderId="0" xfId="0" applyNumberFormat="1" applyFont="1" applyFill="1"/>
    <xf numFmtId="2" fontId="0" fillId="63" borderId="1" xfId="0" applyNumberFormat="1" applyFill="1" applyBorder="1" applyAlignment="1">
      <alignment horizontal="left" indent="1"/>
    </xf>
    <xf numFmtId="0" fontId="79" fillId="64" borderId="0" xfId="0" applyFont="1" applyFill="1" applyAlignment="1">
      <alignment horizontal="left" vertical="center"/>
    </xf>
    <xf numFmtId="0" fontId="14" fillId="64" borderId="0" xfId="1" applyFill="1" applyBorder="1" applyAlignment="1" applyProtection="1">
      <alignment horizontal="left" vertical="center"/>
    </xf>
    <xf numFmtId="0" fontId="49" fillId="64" borderId="0" xfId="0" applyFont="1" applyFill="1" applyAlignment="1">
      <alignment horizontal="left" vertical="center"/>
    </xf>
    <xf numFmtId="0" fontId="0" fillId="64" borderId="0" xfId="0" applyFill="1" applyAlignment="1">
      <alignment vertical="center"/>
    </xf>
    <xf numFmtId="0" fontId="49" fillId="64" borderId="20" xfId="0" applyFont="1" applyFill="1" applyBorder="1" applyAlignment="1">
      <alignment horizontal="left" vertical="center"/>
    </xf>
    <xf numFmtId="0" fontId="80" fillId="10" borderId="0" xfId="0" applyFont="1" applyFill="1"/>
    <xf numFmtId="0" fontId="39" fillId="10" borderId="0" xfId="0" applyFont="1" applyFill="1"/>
    <xf numFmtId="0" fontId="0" fillId="11" borderId="0" xfId="0" applyFill="1" applyAlignment="1">
      <alignment vertical="top" wrapText="1"/>
    </xf>
    <xf numFmtId="0" fontId="25" fillId="11" borderId="0" xfId="0" applyFont="1" applyFill="1" applyAlignment="1">
      <alignment horizontal="right" vertical="top"/>
    </xf>
    <xf numFmtId="2" fontId="10" fillId="34" borderId="12" xfId="0" applyNumberFormat="1" applyFont="1" applyFill="1" applyBorder="1" applyAlignment="1">
      <alignment horizontal="left"/>
    </xf>
    <xf numFmtId="2" fontId="10" fillId="34" borderId="14" xfId="0" applyNumberFormat="1" applyFont="1" applyFill="1" applyBorder="1" applyAlignment="1">
      <alignment horizontal="left"/>
    </xf>
    <xf numFmtId="3" fontId="0" fillId="24" borderId="5" xfId="0" applyNumberFormat="1" applyFill="1" applyBorder="1"/>
    <xf numFmtId="2" fontId="9" fillId="4" borderId="15" xfId="0" quotePrefix="1" applyNumberFormat="1" applyFont="1" applyFill="1" applyBorder="1"/>
    <xf numFmtId="2" fontId="9" fillId="19" borderId="1" xfId="0" applyNumberFormat="1" applyFont="1" applyFill="1" applyBorder="1" applyAlignment="1">
      <alignment horizontal="left" indent="1"/>
    </xf>
    <xf numFmtId="2" fontId="9" fillId="4" borderId="0" xfId="0" applyNumberFormat="1" applyFont="1" applyFill="1" applyAlignment="1">
      <alignment horizontal="right" indent="1"/>
    </xf>
    <xf numFmtId="1" fontId="0" fillId="61" borderId="0" xfId="0" applyNumberFormat="1" applyFill="1"/>
    <xf numFmtId="2" fontId="83" fillId="24" borderId="0" xfId="0" applyNumberFormat="1" applyFont="1" applyFill="1" applyAlignment="1">
      <alignment horizontal="right"/>
    </xf>
    <xf numFmtId="2" fontId="10" fillId="43" borderId="1" xfId="0" applyNumberFormat="1" applyFont="1" applyFill="1" applyBorder="1" applyAlignment="1">
      <alignment horizontal="right"/>
    </xf>
    <xf numFmtId="49" fontId="9" fillId="6" borderId="7" xfId="0" applyNumberFormat="1" applyFont="1" applyFill="1" applyBorder="1" applyAlignment="1" applyProtection="1">
      <alignment horizontal="left"/>
      <protection locked="0"/>
    </xf>
    <xf numFmtId="49" fontId="9" fillId="6" borderId="3" xfId="0" applyNumberFormat="1" applyFont="1" applyFill="1" applyBorder="1" applyAlignment="1" applyProtection="1">
      <alignment horizontal="left"/>
      <protection locked="0"/>
    </xf>
    <xf numFmtId="2" fontId="10" fillId="24" borderId="0" xfId="0" applyNumberFormat="1" applyFont="1" applyFill="1" applyAlignment="1">
      <alignment horizontal="right" indent="1"/>
    </xf>
    <xf numFmtId="0" fontId="9" fillId="11" borderId="0" xfId="0" applyFont="1" applyFill="1"/>
    <xf numFmtId="0" fontId="16" fillId="11" borderId="0" xfId="0" applyFont="1" applyFill="1" applyAlignment="1">
      <alignment horizontal="right" vertical="top"/>
    </xf>
    <xf numFmtId="2" fontId="0" fillId="45" borderId="0" xfId="0" applyNumberFormat="1" applyFill="1"/>
    <xf numFmtId="2" fontId="10" fillId="45" borderId="0" xfId="0" applyNumberFormat="1" applyFont="1" applyFill="1" applyAlignment="1">
      <alignment horizontal="right"/>
    </xf>
    <xf numFmtId="2" fontId="0" fillId="45" borderId="0" xfId="0" applyNumberFormat="1" applyFill="1" applyAlignment="1">
      <alignment vertical="center"/>
    </xf>
    <xf numFmtId="2" fontId="10" fillId="24" borderId="10" xfId="0" applyNumberFormat="1" applyFont="1" applyFill="1" applyBorder="1" applyAlignment="1">
      <alignment horizontal="right"/>
    </xf>
    <xf numFmtId="2" fontId="0" fillId="24" borderId="10" xfId="0" applyNumberFormat="1" applyFill="1" applyBorder="1" applyAlignment="1">
      <alignment vertical="center"/>
    </xf>
    <xf numFmtId="2" fontId="0" fillId="19" borderId="10" xfId="0" applyNumberFormat="1" applyFill="1" applyBorder="1"/>
    <xf numFmtId="2" fontId="10" fillId="19" borderId="10" xfId="0" applyNumberFormat="1" applyFont="1" applyFill="1" applyBorder="1" applyAlignment="1">
      <alignment horizontal="left" vertical="center"/>
    </xf>
    <xf numFmtId="2" fontId="10" fillId="19" borderId="10" xfId="0" applyNumberFormat="1" applyFont="1" applyFill="1" applyBorder="1"/>
    <xf numFmtId="2" fontId="10" fillId="42" borderId="0" xfId="0" applyNumberFormat="1" applyFont="1" applyFill="1" applyAlignment="1">
      <alignment vertical="center"/>
    </xf>
    <xf numFmtId="0" fontId="9" fillId="41" borderId="0" xfId="0" applyFont="1" applyFill="1"/>
    <xf numFmtId="2" fontId="0" fillId="19" borderId="11" xfId="0" applyNumberFormat="1" applyFill="1" applyBorder="1"/>
    <xf numFmtId="2" fontId="0" fillId="19" borderId="11" xfId="0" applyNumberFormat="1" applyFill="1" applyBorder="1" applyAlignment="1">
      <alignment horizontal="right"/>
    </xf>
    <xf numFmtId="165" fontId="0" fillId="19" borderId="11" xfId="0" applyNumberFormat="1" applyFill="1" applyBorder="1" applyAlignment="1">
      <alignment horizontal="right"/>
    </xf>
    <xf numFmtId="2" fontId="41" fillId="34" borderId="12" xfId="0" applyNumberFormat="1" applyFont="1" applyFill="1" applyBorder="1" applyAlignment="1">
      <alignment horizontal="center"/>
    </xf>
    <xf numFmtId="2" fontId="10" fillId="34" borderId="13" xfId="0" applyNumberFormat="1" applyFont="1" applyFill="1" applyBorder="1"/>
    <xf numFmtId="49" fontId="9" fillId="6" borderId="0" xfId="0" applyNumberFormat="1" applyFont="1" applyFill="1" applyAlignment="1" applyProtection="1">
      <alignment horizontal="left"/>
      <protection locked="0"/>
    </xf>
    <xf numFmtId="49" fontId="9" fillId="6" borderId="11" xfId="0" applyNumberFormat="1" applyFont="1" applyFill="1" applyBorder="1" applyAlignment="1" applyProtection="1">
      <alignment horizontal="left"/>
      <protection locked="0"/>
    </xf>
    <xf numFmtId="49" fontId="9" fillId="6" borderId="5" xfId="0" applyNumberFormat="1" applyFont="1" applyFill="1" applyBorder="1" applyAlignment="1" applyProtection="1">
      <alignment horizontal="left"/>
      <protection locked="0"/>
    </xf>
    <xf numFmtId="49" fontId="9" fillId="6" borderId="10" xfId="0" applyNumberFormat="1" applyFont="1" applyFill="1" applyBorder="1" applyAlignment="1" applyProtection="1">
      <alignment horizontal="left"/>
      <protection locked="0"/>
    </xf>
    <xf numFmtId="1" fontId="10" fillId="5" borderId="0" xfId="0" applyNumberFormat="1" applyFont="1" applyFill="1" applyAlignment="1">
      <alignment horizontal="center"/>
    </xf>
    <xf numFmtId="2" fontId="16" fillId="34" borderId="14" xfId="0" applyNumberFormat="1" applyFont="1" applyFill="1" applyBorder="1"/>
    <xf numFmtId="0" fontId="86" fillId="64" borderId="0" xfId="12" applyFont="1" applyFill="1" applyAlignment="1">
      <alignment horizontal="left" vertical="center"/>
    </xf>
    <xf numFmtId="0" fontId="85" fillId="64" borderId="0" xfId="12" applyFill="1" applyAlignment="1">
      <alignment vertical="center"/>
    </xf>
    <xf numFmtId="0" fontId="79" fillId="64" borderId="0" xfId="12" applyFont="1" applyFill="1" applyAlignment="1">
      <alignment horizontal="left" vertical="center"/>
    </xf>
    <xf numFmtId="0" fontId="85" fillId="0" borderId="0" xfId="12"/>
    <xf numFmtId="0" fontId="88" fillId="64" borderId="0" xfId="12" applyFont="1" applyFill="1" applyAlignment="1">
      <alignment horizontal="left" vertical="center" wrapText="1"/>
    </xf>
    <xf numFmtId="17" fontId="88" fillId="64" borderId="0" xfId="12" applyNumberFormat="1" applyFont="1" applyFill="1" applyAlignment="1">
      <alignment horizontal="left" vertical="top"/>
    </xf>
    <xf numFmtId="0" fontId="49" fillId="64" borderId="0" xfId="12" applyFont="1" applyFill="1" applyAlignment="1">
      <alignment horizontal="left" vertical="center"/>
    </xf>
    <xf numFmtId="0" fontId="49" fillId="64" borderId="0" xfId="12" applyFont="1" applyFill="1" applyAlignment="1">
      <alignment horizontal="left" vertical="center" wrapText="1"/>
    </xf>
    <xf numFmtId="0" fontId="88" fillId="64" borderId="20" xfId="12" applyFont="1" applyFill="1" applyBorder="1" applyAlignment="1">
      <alignment horizontal="left" vertical="center" wrapText="1"/>
    </xf>
    <xf numFmtId="0" fontId="85" fillId="65" borderId="20" xfId="12" applyFill="1" applyBorder="1" applyAlignment="1">
      <alignment horizontal="left" vertical="center"/>
    </xf>
    <xf numFmtId="0" fontId="85" fillId="64" borderId="20" xfId="12" applyFill="1" applyBorder="1" applyAlignment="1">
      <alignment horizontal="left" vertical="center"/>
    </xf>
    <xf numFmtId="0" fontId="85" fillId="11" borderId="0" xfId="12" applyFill="1"/>
    <xf numFmtId="0" fontId="6" fillId="11" borderId="0" xfId="12" applyFont="1" applyFill="1" applyAlignment="1">
      <alignment vertical="top"/>
    </xf>
    <xf numFmtId="0" fontId="85" fillId="11" borderId="0" xfId="12" applyFill="1" applyAlignment="1">
      <alignment horizontal="right"/>
    </xf>
    <xf numFmtId="0" fontId="85" fillId="11" borderId="0" xfId="12" quotePrefix="1" applyFill="1" applyAlignment="1">
      <alignment horizontal="right"/>
    </xf>
    <xf numFmtId="0" fontId="85" fillId="11" borderId="0" xfId="12" quotePrefix="1" applyFill="1" applyAlignment="1">
      <alignment horizontal="right" vertical="top"/>
    </xf>
    <xf numFmtId="0" fontId="9" fillId="11" borderId="0" xfId="0" applyFont="1" applyFill="1" applyAlignment="1">
      <alignment horizontal="left" vertical="top" wrapText="1"/>
    </xf>
    <xf numFmtId="0" fontId="9" fillId="11" borderId="0" xfId="0" applyFont="1" applyFill="1" applyAlignment="1">
      <alignment vertical="top" wrapText="1"/>
    </xf>
    <xf numFmtId="2" fontId="10" fillId="24" borderId="0" xfId="0" applyNumberFormat="1" applyFont="1" applyFill="1" applyAlignment="1">
      <alignment horizontal="right" vertical="center" indent="1"/>
    </xf>
    <xf numFmtId="0" fontId="0" fillId="11" borderId="0" xfId="0" applyFill="1" applyAlignment="1">
      <alignment vertical="top"/>
    </xf>
    <xf numFmtId="0" fontId="0" fillId="11" borderId="0" xfId="0" applyFill="1" applyAlignment="1">
      <alignment horizontal="right" vertical="top"/>
    </xf>
    <xf numFmtId="0" fontId="0" fillId="0" borderId="0" xfId="0" applyAlignment="1">
      <alignment vertical="top"/>
    </xf>
    <xf numFmtId="0" fontId="86" fillId="64" borderId="0" xfId="0" applyFont="1" applyFill="1" applyAlignment="1">
      <alignment horizontal="left" vertical="center"/>
    </xf>
    <xf numFmtId="0" fontId="49" fillId="64" borderId="10" xfId="0" applyFont="1" applyFill="1" applyBorder="1" applyAlignment="1">
      <alignment horizontal="left" vertical="center"/>
    </xf>
    <xf numFmtId="0" fontId="0" fillId="64" borderId="10" xfId="0" applyFill="1" applyBorder="1" applyAlignment="1">
      <alignment vertical="center"/>
    </xf>
    <xf numFmtId="0" fontId="86" fillId="64" borderId="10" xfId="0" applyFont="1" applyFill="1" applyBorder="1" applyAlignment="1">
      <alignment horizontal="left" vertical="center"/>
    </xf>
    <xf numFmtId="0" fontId="79" fillId="64" borderId="10" xfId="0" applyFont="1" applyFill="1" applyBorder="1" applyAlignment="1">
      <alignment horizontal="left" vertical="center"/>
    </xf>
    <xf numFmtId="0" fontId="14" fillId="64" borderId="10" xfId="1" applyFill="1" applyBorder="1" applyAlignment="1" applyProtection="1">
      <alignment horizontal="left" vertical="center"/>
    </xf>
    <xf numFmtId="1" fontId="10" fillId="5" borderId="0" xfId="0" applyNumberFormat="1" applyFont="1" applyFill="1" applyAlignment="1">
      <alignment horizontal="left"/>
    </xf>
    <xf numFmtId="0" fontId="0" fillId="5" borderId="0" xfId="0" applyFill="1" applyAlignment="1">
      <alignment horizontal="left"/>
    </xf>
    <xf numFmtId="165" fontId="0" fillId="5" borderId="0" xfId="0" applyNumberFormat="1" applyFill="1" applyAlignment="1">
      <alignment horizontal="left"/>
    </xf>
    <xf numFmtId="166" fontId="10" fillId="5" borderId="0" xfId="0" applyNumberFormat="1" applyFont="1" applyFill="1" applyAlignment="1">
      <alignment horizontal="center"/>
    </xf>
    <xf numFmtId="0" fontId="0" fillId="0" borderId="0" xfId="0" applyAlignment="1">
      <alignment vertical="top" wrapText="1"/>
    </xf>
    <xf numFmtId="0" fontId="0" fillId="0" borderId="0" xfId="0" applyAlignment="1">
      <alignment horizontal="left" vertical="top"/>
    </xf>
    <xf numFmtId="0" fontId="9" fillId="11" borderId="0" xfId="0" quotePrefix="1" applyFont="1" applyFill="1"/>
    <xf numFmtId="0" fontId="0" fillId="11" borderId="0" xfId="0" applyFill="1" applyAlignment="1">
      <alignment horizontal="left" vertical="top" wrapText="1"/>
    </xf>
    <xf numFmtId="2" fontId="9" fillId="50" borderId="1" xfId="0" applyNumberFormat="1" applyFont="1" applyFill="1" applyBorder="1" applyAlignment="1">
      <alignment horizontal="right"/>
    </xf>
    <xf numFmtId="2" fontId="0" fillId="15" borderId="22" xfId="0" applyNumberFormat="1" applyFill="1" applyBorder="1"/>
    <xf numFmtId="2" fontId="9" fillId="15" borderId="1" xfId="0" applyNumberFormat="1" applyFont="1" applyFill="1" applyBorder="1" applyAlignment="1">
      <alignment wrapText="1"/>
    </xf>
    <xf numFmtId="2" fontId="9" fillId="60" borderId="12" xfId="0" applyNumberFormat="1" applyFont="1" applyFill="1" applyBorder="1" applyAlignment="1">
      <alignment wrapText="1"/>
    </xf>
    <xf numFmtId="2" fontId="10" fillId="4" borderId="22" xfId="0" applyNumberFormat="1" applyFont="1" applyFill="1" applyBorder="1"/>
    <xf numFmtId="2" fontId="10" fillId="4" borderId="23" xfId="0" applyNumberFormat="1" applyFont="1" applyFill="1" applyBorder="1"/>
    <xf numFmtId="2" fontId="0" fillId="15" borderId="1" xfId="0" applyNumberFormat="1" applyFill="1" applyBorder="1" applyAlignment="1">
      <alignment horizontal="left"/>
    </xf>
    <xf numFmtId="2" fontId="52" fillId="15" borderId="0" xfId="0" applyNumberFormat="1" applyFont="1" applyFill="1"/>
    <xf numFmtId="0" fontId="7" fillId="11" borderId="0" xfId="0" applyFont="1" applyFill="1" applyAlignment="1">
      <alignment horizontal="left" vertical="top" wrapText="1"/>
    </xf>
    <xf numFmtId="2" fontId="37" fillId="60" borderId="1" xfId="0" applyNumberFormat="1" applyFont="1" applyFill="1" applyBorder="1"/>
    <xf numFmtId="2" fontId="0" fillId="4" borderId="10" xfId="0" applyNumberFormat="1" applyFill="1" applyBorder="1"/>
    <xf numFmtId="2" fontId="0" fillId="67" borderId="11" xfId="0" applyNumberFormat="1" applyFill="1" applyBorder="1"/>
    <xf numFmtId="2" fontId="0" fillId="67" borderId="12" xfId="0" applyNumberFormat="1" applyFill="1" applyBorder="1"/>
    <xf numFmtId="2" fontId="0" fillId="67" borderId="14" xfId="0" applyNumberFormat="1" applyFill="1" applyBorder="1"/>
    <xf numFmtId="0" fontId="0" fillId="68" borderId="14" xfId="0" applyFill="1" applyBorder="1"/>
    <xf numFmtId="2" fontId="9" fillId="69" borderId="12" xfId="0" applyNumberFormat="1" applyFont="1" applyFill="1" applyBorder="1" applyAlignment="1">
      <alignment wrapText="1"/>
    </xf>
    <xf numFmtId="1" fontId="10" fillId="4" borderId="0" xfId="0" applyNumberFormat="1" applyFont="1" applyFill="1" applyAlignment="1">
      <alignment horizontal="right"/>
    </xf>
    <xf numFmtId="1" fontId="0" fillId="15" borderId="1" xfId="0" applyNumberFormat="1" applyFill="1" applyBorder="1"/>
    <xf numFmtId="2" fontId="0" fillId="7" borderId="1" xfId="0" applyNumberFormat="1" applyFill="1" applyBorder="1"/>
    <xf numFmtId="2" fontId="0" fillId="7" borderId="1" xfId="0" applyNumberFormat="1" applyFill="1" applyBorder="1" applyAlignment="1">
      <alignment horizontal="right"/>
    </xf>
    <xf numFmtId="2" fontId="0" fillId="6" borderId="1" xfId="0" applyNumberFormat="1" applyFill="1" applyBorder="1" applyAlignment="1">
      <alignment horizontal="right"/>
    </xf>
    <xf numFmtId="2" fontId="0" fillId="29" borderId="7" xfId="0" applyNumberFormat="1" applyFill="1" applyBorder="1"/>
    <xf numFmtId="2" fontId="0" fillId="29" borderId="10" xfId="0" applyNumberFormat="1" applyFill="1" applyBorder="1"/>
    <xf numFmtId="2" fontId="0" fillId="29" borderId="3" xfId="0" applyNumberFormat="1" applyFill="1" applyBorder="1"/>
    <xf numFmtId="2" fontId="0" fillId="29" borderId="6" xfId="0" applyNumberFormat="1" applyFill="1" applyBorder="1"/>
    <xf numFmtId="2" fontId="0" fillId="29" borderId="2" xfId="0" applyNumberFormat="1" applyFill="1" applyBorder="1"/>
    <xf numFmtId="2" fontId="0" fillId="70" borderId="0" xfId="0" applyNumberFormat="1" applyFill="1"/>
    <xf numFmtId="0" fontId="94" fillId="6" borderId="1" xfId="0" applyFont="1" applyFill="1" applyBorder="1" applyProtection="1">
      <protection locked="0"/>
    </xf>
    <xf numFmtId="0" fontId="10" fillId="56" borderId="0" xfId="0" applyFont="1" applyFill="1"/>
    <xf numFmtId="0" fontId="10" fillId="56" borderId="0" xfId="0" applyFont="1" applyFill="1" applyAlignment="1">
      <alignment horizontal="right"/>
    </xf>
    <xf numFmtId="169" fontId="0" fillId="56" borderId="0" xfId="0" applyNumberFormat="1" applyFill="1" applyAlignment="1">
      <alignment horizontal="left"/>
    </xf>
    <xf numFmtId="0" fontId="9" fillId="56" borderId="0" xfId="0" applyFont="1" applyFill="1" applyAlignment="1" applyProtection="1">
      <alignment horizontal="left"/>
      <protection locked="0"/>
    </xf>
    <xf numFmtId="0" fontId="10" fillId="56" borderId="11" xfId="0" applyFont="1" applyFill="1" applyBorder="1"/>
    <xf numFmtId="0" fontId="0" fillId="52" borderId="0" xfId="0" applyFill="1"/>
    <xf numFmtId="169" fontId="0" fillId="52" borderId="0" xfId="0" applyNumberFormat="1" applyFill="1"/>
    <xf numFmtId="0" fontId="0" fillId="52" borderId="0" xfId="0" applyFill="1" applyProtection="1">
      <protection locked="0"/>
    </xf>
    <xf numFmtId="0" fontId="85" fillId="11" borderId="0" xfId="12" applyFill="1" applyAlignment="1">
      <alignment horizontal="left"/>
    </xf>
    <xf numFmtId="0" fontId="85" fillId="0" borderId="0" xfId="12" applyAlignment="1">
      <alignment horizontal="left"/>
    </xf>
    <xf numFmtId="2" fontId="0" fillId="15" borderId="0" xfId="0" applyNumberFormat="1" applyFill="1" applyAlignment="1">
      <alignment horizontal="right"/>
    </xf>
    <xf numFmtId="2" fontId="10" fillId="4" borderId="0" xfId="0" applyNumberFormat="1" applyFont="1" applyFill="1" applyAlignment="1">
      <alignment horizontal="right"/>
    </xf>
    <xf numFmtId="9" fontId="0" fillId="4" borderId="1" xfId="2" applyFont="1" applyFill="1" applyBorder="1" applyAlignment="1" applyProtection="1">
      <alignment horizontal="center"/>
    </xf>
    <xf numFmtId="165" fontId="14" fillId="5" borderId="0" xfId="1" applyNumberFormat="1" applyFill="1" applyAlignment="1" applyProtection="1"/>
    <xf numFmtId="2" fontId="10" fillId="43" borderId="12" xfId="0" applyNumberFormat="1" applyFont="1" applyFill="1" applyBorder="1" applyAlignment="1">
      <alignment horizontal="right"/>
    </xf>
    <xf numFmtId="2" fontId="0" fillId="19" borderId="7" xfId="0" applyNumberFormat="1" applyFill="1" applyBorder="1"/>
    <xf numFmtId="2" fontId="0" fillId="19" borderId="6" xfId="0" applyNumberFormat="1" applyFill="1" applyBorder="1"/>
    <xf numFmtId="2" fontId="10" fillId="24" borderId="0" xfId="0" applyNumberFormat="1" applyFont="1" applyFill="1" applyAlignment="1" applyProtection="1">
      <alignment horizontal="right"/>
      <protection locked="0"/>
    </xf>
    <xf numFmtId="2" fontId="0" fillId="24" borderId="7" xfId="0" applyNumberFormat="1" applyFill="1" applyBorder="1" applyProtection="1">
      <protection locked="0"/>
    </xf>
    <xf numFmtId="2" fontId="24" fillId="24" borderId="10" xfId="0" applyNumberFormat="1" applyFont="1" applyFill="1" applyBorder="1" applyProtection="1">
      <protection locked="0"/>
    </xf>
    <xf numFmtId="3" fontId="0" fillId="24" borderId="10" xfId="0" applyNumberFormat="1" applyFill="1" applyBorder="1" applyProtection="1">
      <protection locked="0"/>
    </xf>
    <xf numFmtId="2" fontId="0" fillId="24" borderId="3" xfId="0" applyNumberFormat="1" applyFill="1" applyBorder="1" applyProtection="1">
      <protection locked="0"/>
    </xf>
    <xf numFmtId="2" fontId="60" fillId="38" borderId="7" xfId="0" applyNumberFormat="1" applyFont="1" applyFill="1" applyBorder="1" applyAlignment="1">
      <alignment horizontal="right" vertical="center" indent="1"/>
    </xf>
    <xf numFmtId="0" fontId="22" fillId="44" borderId="0" xfId="0" applyFont="1" applyFill="1" applyAlignment="1">
      <alignment horizontal="left" vertical="top" indent="1"/>
    </xf>
    <xf numFmtId="0" fontId="22" fillId="44" borderId="10" xfId="0" applyFont="1" applyFill="1" applyBorder="1" applyAlignment="1">
      <alignment horizontal="left" vertical="top" indent="1"/>
    </xf>
    <xf numFmtId="2" fontId="0" fillId="72" borderId="10" xfId="0" applyNumberFormat="1" applyFill="1" applyBorder="1"/>
    <xf numFmtId="43" fontId="0" fillId="25" borderId="1" xfId="3" applyFont="1" applyFill="1" applyBorder="1" applyAlignment="1">
      <alignment horizontal="right"/>
    </xf>
    <xf numFmtId="2" fontId="69" fillId="34" borderId="14" xfId="0" applyNumberFormat="1" applyFont="1" applyFill="1" applyBorder="1"/>
    <xf numFmtId="0" fontId="24" fillId="35" borderId="14" xfId="0" applyFont="1" applyFill="1" applyBorder="1"/>
    <xf numFmtId="0" fontId="39" fillId="11" borderId="0" xfId="0" applyFont="1" applyFill="1" applyAlignment="1">
      <alignment vertical="top"/>
    </xf>
    <xf numFmtId="165" fontId="9" fillId="2" borderId="1" xfId="0" applyNumberFormat="1" applyFont="1" applyFill="1" applyBorder="1" applyAlignment="1" applyProtection="1">
      <alignment horizontal="left"/>
      <protection locked="0"/>
    </xf>
    <xf numFmtId="0" fontId="37" fillId="6" borderId="1" xfId="0" applyFont="1" applyFill="1" applyBorder="1" applyAlignment="1" applyProtection="1">
      <alignment horizontal="left"/>
      <protection locked="0"/>
    </xf>
    <xf numFmtId="2" fontId="0" fillId="73" borderId="12" xfId="0" applyNumberFormat="1" applyFill="1" applyBorder="1"/>
    <xf numFmtId="2" fontId="0" fillId="73" borderId="14" xfId="0" applyNumberFormat="1" applyFill="1" applyBorder="1"/>
    <xf numFmtId="2" fontId="0" fillId="73" borderId="13" xfId="0" applyNumberFormat="1" applyFill="1" applyBorder="1"/>
    <xf numFmtId="165" fontId="0" fillId="5" borderId="11" xfId="0" applyNumberFormat="1" applyFill="1" applyBorder="1"/>
    <xf numFmtId="165" fontId="0" fillId="5" borderId="11" xfId="0" applyNumberFormat="1" applyFill="1" applyBorder="1" applyAlignment="1">
      <alignment horizontal="left"/>
    </xf>
    <xf numFmtId="49" fontId="9" fillId="6" borderId="4" xfId="0" applyNumberFormat="1" applyFont="1" applyFill="1" applyBorder="1" applyAlignment="1" applyProtection="1">
      <alignment horizontal="left"/>
      <protection locked="0"/>
    </xf>
    <xf numFmtId="49" fontId="9" fillId="6" borderId="6" xfId="0" applyNumberFormat="1" applyFont="1" applyFill="1" applyBorder="1" applyAlignment="1" applyProtection="1">
      <alignment horizontal="left"/>
      <protection locked="0"/>
    </xf>
    <xf numFmtId="49" fontId="9" fillId="6" borderId="2" xfId="0" applyNumberFormat="1" applyFont="1" applyFill="1" applyBorder="1" applyAlignment="1" applyProtection="1">
      <alignment horizontal="left"/>
      <protection locked="0"/>
    </xf>
    <xf numFmtId="2" fontId="60" fillId="46" borderId="4" xfId="0" applyNumberFormat="1" applyFont="1" applyFill="1" applyBorder="1" applyAlignment="1">
      <alignment horizontal="left" vertical="center" indent="1"/>
    </xf>
    <xf numFmtId="2" fontId="60" fillId="47" borderId="11" xfId="0" applyNumberFormat="1" applyFont="1" applyFill="1" applyBorder="1" applyAlignment="1">
      <alignment horizontal="left" vertical="center" indent="1"/>
    </xf>
    <xf numFmtId="2" fontId="0" fillId="43" borderId="11" xfId="0" applyNumberFormat="1" applyFill="1" applyBorder="1" applyAlignment="1">
      <alignment horizontal="left" indent="1"/>
    </xf>
    <xf numFmtId="2" fontId="60" fillId="47" borderId="5" xfId="0" applyNumberFormat="1" applyFont="1" applyFill="1" applyBorder="1" applyAlignment="1">
      <alignment horizontal="left" vertical="center" indent="1"/>
    </xf>
    <xf numFmtId="2" fontId="64" fillId="34" borderId="0" xfId="0" applyNumberFormat="1" applyFont="1" applyFill="1"/>
    <xf numFmtId="2" fontId="64" fillId="36" borderId="0" xfId="0" applyNumberFormat="1" applyFont="1" applyFill="1"/>
    <xf numFmtId="2" fontId="64" fillId="4" borderId="0" xfId="0" applyNumberFormat="1" applyFont="1" applyFill="1"/>
    <xf numFmtId="0" fontId="100" fillId="0" borderId="12" xfId="10" applyFont="1" applyBorder="1" applyAlignment="1">
      <alignment wrapText="1"/>
    </xf>
    <xf numFmtId="0" fontId="100" fillId="0" borderId="14" xfId="10" applyFont="1" applyBorder="1" applyAlignment="1">
      <alignment wrapText="1"/>
    </xf>
    <xf numFmtId="0" fontId="100" fillId="74" borderId="34" xfId="10" applyFont="1" applyFill="1" applyBorder="1" applyAlignment="1">
      <alignment wrapText="1"/>
    </xf>
    <xf numFmtId="0" fontId="100" fillId="0" borderId="13" xfId="10" applyFont="1" applyBorder="1" applyAlignment="1">
      <alignment wrapText="1"/>
    </xf>
    <xf numFmtId="0" fontId="100" fillId="52" borderId="0" xfId="10" applyFont="1" applyFill="1"/>
    <xf numFmtId="0" fontId="100" fillId="0" borderId="0" xfId="10" applyFont="1"/>
    <xf numFmtId="0" fontId="101" fillId="53" borderId="0" xfId="10" applyFont="1" applyFill="1" applyAlignment="1">
      <alignment horizontal="right"/>
    </xf>
    <xf numFmtId="0" fontId="100" fillId="0" borderId="0" xfId="10" applyFont="1" applyAlignment="1">
      <alignment horizontal="right"/>
    </xf>
    <xf numFmtId="0" fontId="100" fillId="52" borderId="0" xfId="10" applyFont="1" applyFill="1" applyAlignment="1">
      <alignment horizontal="right"/>
    </xf>
    <xf numFmtId="2" fontId="100" fillId="52" borderId="0" xfId="10" applyNumberFormat="1" applyFont="1" applyFill="1" applyAlignment="1">
      <alignment horizontal="right"/>
    </xf>
    <xf numFmtId="170" fontId="64" fillId="52" borderId="0" xfId="11" applyNumberFormat="1" applyFont="1" applyFill="1"/>
    <xf numFmtId="0" fontId="100" fillId="53" borderId="0" xfId="10" applyFont="1" applyFill="1"/>
    <xf numFmtId="0" fontId="100" fillId="54" borderId="0" xfId="10" applyFont="1" applyFill="1"/>
    <xf numFmtId="2" fontId="64" fillId="19" borderId="0" xfId="0" applyNumberFormat="1" applyFont="1" applyFill="1"/>
    <xf numFmtId="0" fontId="102" fillId="9" borderId="0" xfId="10" applyFont="1" applyFill="1"/>
    <xf numFmtId="0" fontId="100" fillId="9" borderId="0" xfId="10" applyFont="1" applyFill="1"/>
    <xf numFmtId="0" fontId="0" fillId="0" borderId="1" xfId="0" applyBorder="1"/>
    <xf numFmtId="0" fontId="0" fillId="52" borderId="1" xfId="0" applyFill="1" applyBorder="1"/>
    <xf numFmtId="0" fontId="9" fillId="52" borderId="1" xfId="0" quotePrefix="1" applyFont="1" applyFill="1" applyBorder="1"/>
    <xf numFmtId="2" fontId="0" fillId="0" borderId="0" xfId="0" applyNumberFormat="1"/>
    <xf numFmtId="1" fontId="63" fillId="23" borderId="1" xfId="0" applyNumberFormat="1" applyFont="1" applyFill="1" applyBorder="1" applyAlignment="1" applyProtection="1">
      <alignment horizontal="center"/>
      <protection locked="0"/>
    </xf>
    <xf numFmtId="2" fontId="0" fillId="52" borderId="0" xfId="0" applyNumberFormat="1" applyFill="1"/>
    <xf numFmtId="0" fontId="9" fillId="0" borderId="0" xfId="0" applyFont="1" applyAlignment="1">
      <alignment horizontal="right"/>
    </xf>
    <xf numFmtId="0" fontId="9" fillId="52" borderId="1" xfId="0" applyFont="1" applyFill="1" applyBorder="1"/>
    <xf numFmtId="0" fontId="9" fillId="52" borderId="1" xfId="0" applyFont="1" applyFill="1" applyBorder="1" applyAlignment="1">
      <alignment horizontal="right"/>
    </xf>
    <xf numFmtId="0" fontId="9" fillId="0" borderId="1" xfId="0" applyFont="1" applyBorder="1"/>
    <xf numFmtId="9" fontId="0" fillId="0" borderId="1" xfId="0" applyNumberFormat="1" applyBorder="1"/>
    <xf numFmtId="9" fontId="0" fillId="52" borderId="0" xfId="2" applyFont="1" applyFill="1"/>
    <xf numFmtId="0" fontId="9" fillId="64" borderId="1" xfId="0" applyFont="1" applyFill="1" applyBorder="1"/>
    <xf numFmtId="0" fontId="0" fillId="56" borderId="0" xfId="0" applyFill="1"/>
    <xf numFmtId="0" fontId="0" fillId="56" borderId="1" xfId="0" applyFill="1" applyBorder="1"/>
    <xf numFmtId="0" fontId="9" fillId="56" borderId="1" xfId="0" applyFont="1" applyFill="1" applyBorder="1"/>
    <xf numFmtId="2" fontId="0" fillId="0" borderId="1" xfId="0" applyNumberFormat="1" applyBorder="1"/>
    <xf numFmtId="2" fontId="0" fillId="75" borderId="0" xfId="0" applyNumberFormat="1" applyFill="1"/>
    <xf numFmtId="2" fontId="9" fillId="75" borderId="0" xfId="0" applyNumberFormat="1" applyFont="1" applyFill="1"/>
    <xf numFmtId="2" fontId="16" fillId="75" borderId="0" xfId="0" applyNumberFormat="1" applyFont="1" applyFill="1"/>
    <xf numFmtId="0" fontId="0" fillId="76" borderId="0" xfId="0" applyFill="1"/>
    <xf numFmtId="0" fontId="10" fillId="76" borderId="0" xfId="0" applyFont="1" applyFill="1"/>
    <xf numFmtId="0" fontId="95" fillId="76" borderId="0" xfId="0" applyFont="1" applyFill="1"/>
    <xf numFmtId="0" fontId="95" fillId="0" borderId="0" xfId="0" applyFont="1"/>
    <xf numFmtId="0" fontId="10" fillId="0" borderId="0" xfId="0" applyFont="1"/>
    <xf numFmtId="2" fontId="9" fillId="0" borderId="0" xfId="0" applyNumberFormat="1" applyFont="1"/>
    <xf numFmtId="2" fontId="60" fillId="15" borderId="6" xfId="0" applyNumberFormat="1" applyFont="1" applyFill="1" applyBorder="1" applyAlignment="1">
      <alignment horizontal="left" indent="1"/>
    </xf>
    <xf numFmtId="2" fontId="9" fillId="15" borderId="2" xfId="0" applyNumberFormat="1" applyFont="1" applyFill="1" applyBorder="1" applyAlignment="1">
      <alignment horizontal="left" indent="1"/>
    </xf>
    <xf numFmtId="3" fontId="0" fillId="24" borderId="11" xfId="0" applyNumberFormat="1" applyFill="1" applyBorder="1" applyAlignment="1">
      <alignment vertical="center"/>
    </xf>
    <xf numFmtId="2" fontId="0" fillId="37" borderId="11" xfId="0" applyNumberFormat="1" applyFill="1" applyBorder="1"/>
    <xf numFmtId="3" fontId="0" fillId="24" borderId="10" xfId="0" applyNumberFormat="1" applyFill="1" applyBorder="1"/>
    <xf numFmtId="3" fontId="10" fillId="24" borderId="0" xfId="0" applyNumberFormat="1" applyFont="1" applyFill="1"/>
    <xf numFmtId="0" fontId="24" fillId="58" borderId="14" xfId="0" applyFont="1" applyFill="1" applyBorder="1" applyAlignment="1">
      <alignment horizontal="left"/>
    </xf>
    <xf numFmtId="0" fontId="24" fillId="58" borderId="13" xfId="0" applyFont="1" applyFill="1" applyBorder="1" applyAlignment="1">
      <alignment horizontal="left"/>
    </xf>
    <xf numFmtId="0" fontId="24" fillId="77" borderId="14" xfId="0" applyFont="1" applyFill="1" applyBorder="1" applyAlignment="1">
      <alignment horizontal="left"/>
    </xf>
    <xf numFmtId="2" fontId="10" fillId="4" borderId="1" xfId="0" applyNumberFormat="1" applyFont="1" applyFill="1" applyBorder="1"/>
    <xf numFmtId="2" fontId="0" fillId="78" borderId="1" xfId="0" applyNumberFormat="1" applyFill="1" applyBorder="1"/>
    <xf numFmtId="9" fontId="0" fillId="72" borderId="10" xfId="2" applyFont="1" applyFill="1" applyBorder="1" applyAlignment="1" applyProtection="1">
      <alignment horizontal="left"/>
    </xf>
    <xf numFmtId="168" fontId="9" fillId="24" borderId="0" xfId="3" applyNumberFormat="1" applyFont="1" applyFill="1" applyBorder="1" applyAlignment="1" applyProtection="1">
      <alignment horizontal="right"/>
    </xf>
    <xf numFmtId="2" fontId="10" fillId="0" borderId="0" xfId="0" applyNumberFormat="1" applyFont="1" applyAlignment="1">
      <alignment horizontal="right"/>
    </xf>
    <xf numFmtId="2" fontId="37" fillId="23" borderId="1" xfId="0" applyNumberFormat="1" applyFont="1" applyFill="1" applyBorder="1" applyAlignment="1" applyProtection="1">
      <alignment horizontal="center" vertical="center"/>
      <protection locked="0"/>
    </xf>
    <xf numFmtId="2" fontId="0" fillId="79" borderId="0" xfId="0" applyNumberFormat="1" applyFill="1"/>
    <xf numFmtId="0" fontId="0" fillId="74" borderId="0" xfId="0" applyFill="1"/>
    <xf numFmtId="0" fontId="9" fillId="74" borderId="0" xfId="0" applyFont="1" applyFill="1"/>
    <xf numFmtId="0" fontId="0" fillId="0" borderId="23" xfId="0" applyBorder="1"/>
    <xf numFmtId="0" fontId="0" fillId="0" borderId="15" xfId="0" applyBorder="1"/>
    <xf numFmtId="0" fontId="0" fillId="0" borderId="0" xfId="0" applyAlignment="1">
      <alignment horizontal="right"/>
    </xf>
    <xf numFmtId="2" fontId="0" fillId="56" borderId="0" xfId="0" applyNumberFormat="1" applyFill="1"/>
    <xf numFmtId="0" fontId="10" fillId="44" borderId="11" xfId="0" applyFont="1" applyFill="1" applyBorder="1"/>
    <xf numFmtId="2" fontId="9" fillId="57" borderId="0" xfId="0" applyNumberFormat="1" applyFont="1" applyFill="1" applyAlignment="1">
      <alignment vertical="center"/>
    </xf>
    <xf numFmtId="2" fontId="0" fillId="57" borderId="0" xfId="0" applyNumberFormat="1" applyFill="1" applyAlignment="1">
      <alignment vertical="center"/>
    </xf>
    <xf numFmtId="166" fontId="0" fillId="24" borderId="0" xfId="0" applyNumberFormat="1" applyFill="1"/>
    <xf numFmtId="37" fontId="10" fillId="51" borderId="1" xfId="0" applyNumberFormat="1" applyFont="1" applyFill="1" applyBorder="1" applyAlignment="1">
      <alignment horizontal="center"/>
    </xf>
    <xf numFmtId="0" fontId="71" fillId="80" borderId="10" xfId="0" applyFont="1" applyFill="1" applyBorder="1" applyAlignment="1">
      <alignment horizontal="left" vertical="center"/>
    </xf>
    <xf numFmtId="2" fontId="41" fillId="34" borderId="11" xfId="0" applyNumberFormat="1" applyFont="1" applyFill="1" applyBorder="1" applyAlignment="1">
      <alignment horizontal="left"/>
    </xf>
    <xf numFmtId="2" fontId="10" fillId="34" borderId="11" xfId="0" applyNumberFormat="1" applyFont="1" applyFill="1" applyBorder="1" applyAlignment="1">
      <alignment horizontal="right" vertical="center"/>
    </xf>
    <xf numFmtId="2" fontId="9" fillId="7" borderId="1" xfId="0" applyNumberFormat="1" applyFont="1" applyFill="1" applyBorder="1"/>
    <xf numFmtId="2" fontId="64" fillId="29" borderId="0" xfId="0" applyNumberFormat="1" applyFont="1" applyFill="1" applyAlignment="1">
      <alignment horizontal="right"/>
    </xf>
    <xf numFmtId="2" fontId="71" fillId="19" borderId="0" xfId="0" quotePrefix="1" applyNumberFormat="1" applyFont="1" applyFill="1"/>
    <xf numFmtId="0" fontId="10" fillId="0" borderId="0" xfId="0" applyFont="1" applyAlignment="1">
      <alignment horizontal="left"/>
    </xf>
    <xf numFmtId="1" fontId="60" fillId="42" borderId="6" xfId="0" applyNumberFormat="1" applyFont="1" applyFill="1" applyBorder="1" applyAlignment="1">
      <alignment horizontal="left" vertical="center"/>
    </xf>
    <xf numFmtId="2" fontId="71" fillId="19" borderId="1" xfId="0" applyNumberFormat="1" applyFont="1" applyFill="1" applyBorder="1"/>
    <xf numFmtId="2" fontId="61" fillId="10" borderId="1" xfId="0" applyNumberFormat="1" applyFont="1" applyFill="1" applyBorder="1"/>
    <xf numFmtId="2" fontId="41" fillId="34" borderId="11" xfId="0" applyNumberFormat="1" applyFont="1" applyFill="1" applyBorder="1" applyProtection="1">
      <protection locked="0"/>
    </xf>
    <xf numFmtId="2" fontId="10" fillId="34" borderId="11" xfId="0" applyNumberFormat="1" applyFont="1" applyFill="1" applyBorder="1" applyProtection="1">
      <protection locked="0"/>
    </xf>
    <xf numFmtId="2" fontId="10" fillId="34" borderId="5" xfId="0" applyNumberFormat="1" applyFont="1" applyFill="1" applyBorder="1" applyProtection="1">
      <protection locked="0"/>
    </xf>
    <xf numFmtId="2" fontId="41" fillId="34" borderId="4" xfId="0" applyNumberFormat="1" applyFont="1" applyFill="1" applyBorder="1"/>
    <xf numFmtId="2" fontId="10" fillId="34" borderId="11" xfId="0" applyNumberFormat="1" applyFont="1" applyFill="1" applyBorder="1"/>
    <xf numFmtId="2" fontId="10" fillId="34" borderId="5" xfId="0" applyNumberFormat="1" applyFont="1" applyFill="1" applyBorder="1"/>
    <xf numFmtId="2" fontId="9" fillId="15" borderId="6" xfId="0" applyNumberFormat="1" applyFont="1" applyFill="1" applyBorder="1" applyAlignment="1">
      <alignment horizontal="left" indent="1"/>
    </xf>
    <xf numFmtId="0" fontId="9" fillId="0" borderId="1" xfId="0" applyFont="1" applyBorder="1" applyAlignment="1">
      <alignment horizontal="right"/>
    </xf>
    <xf numFmtId="2" fontId="13" fillId="22" borderId="0" xfId="0" applyNumberFormat="1" applyFont="1" applyFill="1" applyProtection="1">
      <protection locked="0"/>
    </xf>
    <xf numFmtId="2" fontId="9" fillId="24" borderId="0" xfId="0" applyNumberFormat="1" applyFont="1" applyFill="1" applyProtection="1">
      <protection locked="0"/>
    </xf>
    <xf numFmtId="2" fontId="0" fillId="45" borderId="0" xfId="0" applyNumberFormat="1" applyFill="1" applyProtection="1">
      <protection locked="0"/>
    </xf>
    <xf numFmtId="2" fontId="13" fillId="81" borderId="0" xfId="0" applyNumberFormat="1" applyFont="1" applyFill="1" applyProtection="1">
      <protection locked="0"/>
    </xf>
    <xf numFmtId="2" fontId="24" fillId="81" borderId="0" xfId="0" applyNumberFormat="1" applyFont="1" applyFill="1" applyProtection="1">
      <protection locked="0"/>
    </xf>
    <xf numFmtId="2" fontId="13" fillId="81" borderId="0" xfId="0" applyNumberFormat="1" applyFont="1" applyFill="1" applyAlignment="1" applyProtection="1">
      <alignment horizontal="right"/>
      <protection locked="0"/>
    </xf>
    <xf numFmtId="2" fontId="0" fillId="45" borderId="0" xfId="0" applyNumberFormat="1" applyFill="1" applyAlignment="1" applyProtection="1">
      <alignment horizontal="left"/>
      <protection locked="0"/>
    </xf>
    <xf numFmtId="2" fontId="0" fillId="82" borderId="0" xfId="0" applyNumberFormat="1" applyFill="1" applyProtection="1">
      <protection locked="0"/>
    </xf>
    <xf numFmtId="2" fontId="9" fillId="82" borderId="0" xfId="0" applyNumberFormat="1" applyFont="1" applyFill="1" applyProtection="1">
      <protection locked="0"/>
    </xf>
    <xf numFmtId="2" fontId="39" fillId="82" borderId="0" xfId="0" applyNumberFormat="1" applyFont="1" applyFill="1" applyProtection="1">
      <protection locked="0"/>
    </xf>
    <xf numFmtId="2" fontId="10" fillId="45" borderId="0" xfId="0" applyNumberFormat="1" applyFont="1" applyFill="1" applyProtection="1">
      <protection locked="0"/>
    </xf>
    <xf numFmtId="2" fontId="39" fillId="45" borderId="0" xfId="0" applyNumberFormat="1" applyFont="1" applyFill="1" applyProtection="1">
      <protection locked="0"/>
    </xf>
    <xf numFmtId="2" fontId="9" fillId="45" borderId="0" xfId="0" applyNumberFormat="1" applyFont="1" applyFill="1" applyProtection="1">
      <protection locked="0"/>
    </xf>
    <xf numFmtId="2" fontId="0" fillId="29" borderId="0" xfId="0" applyNumberFormat="1" applyFill="1" applyProtection="1">
      <protection locked="0"/>
    </xf>
    <xf numFmtId="2" fontId="0" fillId="34" borderId="14" xfId="0" applyNumberFormat="1" applyFill="1" applyBorder="1" applyAlignment="1">
      <alignment vertical="top"/>
    </xf>
    <xf numFmtId="166" fontId="0" fillId="34" borderId="14" xfId="0" applyNumberFormat="1" applyFill="1" applyBorder="1" applyAlignment="1">
      <alignment horizontal="left" vertical="top"/>
    </xf>
    <xf numFmtId="0" fontId="10" fillId="44" borderId="5" xfId="0" applyFont="1" applyFill="1" applyBorder="1"/>
    <xf numFmtId="0" fontId="10" fillId="44" borderId="10" xfId="0" applyFont="1" applyFill="1" applyBorder="1"/>
    <xf numFmtId="0" fontId="10" fillId="44" borderId="3" xfId="0" applyFont="1" applyFill="1" applyBorder="1"/>
    <xf numFmtId="0" fontId="9" fillId="44" borderId="0" xfId="0" applyFont="1" applyFill="1" applyAlignment="1">
      <alignment horizontal="right"/>
    </xf>
    <xf numFmtId="0" fontId="14" fillId="44" borderId="0" xfId="1" applyFill="1" applyBorder="1" applyAlignment="1" applyProtection="1">
      <alignment horizontal="left"/>
    </xf>
    <xf numFmtId="0" fontId="10" fillId="44" borderId="7" xfId="0" applyFont="1" applyFill="1" applyBorder="1"/>
    <xf numFmtId="0" fontId="14" fillId="44" borderId="10" xfId="1" applyFill="1" applyBorder="1" applyAlignment="1" applyProtection="1">
      <alignment horizontal="left"/>
    </xf>
    <xf numFmtId="0" fontId="9" fillId="52" borderId="15" xfId="0" applyFont="1" applyFill="1" applyBorder="1"/>
    <xf numFmtId="2" fontId="0" fillId="16" borderId="1" xfId="0" applyNumberFormat="1" applyFill="1" applyBorder="1"/>
    <xf numFmtId="9" fontId="37" fillId="23" borderId="22" xfId="2" applyFont="1" applyFill="1" applyBorder="1" applyAlignment="1" applyProtection="1">
      <alignment horizontal="center"/>
      <protection locked="0"/>
    </xf>
    <xf numFmtId="2" fontId="9" fillId="0" borderId="0" xfId="0" applyNumberFormat="1" applyFont="1" applyAlignment="1">
      <alignment horizontal="right"/>
    </xf>
    <xf numFmtId="0" fontId="0" fillId="64" borderId="0" xfId="0" applyFill="1"/>
    <xf numFmtId="1" fontId="9" fillId="38" borderId="0" xfId="0" applyNumberFormat="1" applyFont="1" applyFill="1" applyAlignment="1">
      <alignment horizontal="left" vertical="center"/>
    </xf>
    <xf numFmtId="0" fontId="10" fillId="83" borderId="0" xfId="0" applyFont="1" applyFill="1"/>
    <xf numFmtId="0" fontId="9" fillId="83" borderId="0" xfId="0" applyFont="1" applyFill="1"/>
    <xf numFmtId="0" fontId="0" fillId="83" borderId="0" xfId="0" applyFill="1"/>
    <xf numFmtId="165" fontId="9" fillId="5" borderId="0" xfId="0" quotePrefix="1" applyNumberFormat="1" applyFont="1" applyFill="1" applyAlignment="1">
      <alignment horizontal="right"/>
    </xf>
    <xf numFmtId="2" fontId="0" fillId="24" borderId="4" xfId="0" applyNumberFormat="1" applyFill="1" applyBorder="1" applyAlignment="1">
      <alignment horizontal="center"/>
    </xf>
    <xf numFmtId="2" fontId="0" fillId="24" borderId="6" xfId="0" applyNumberFormat="1" applyFill="1" applyBorder="1" applyAlignment="1">
      <alignment horizontal="center"/>
    </xf>
    <xf numFmtId="2" fontId="0" fillId="24" borderId="2" xfId="0" applyNumberFormat="1" applyFill="1" applyBorder="1" applyAlignment="1">
      <alignment horizontal="center"/>
    </xf>
    <xf numFmtId="1" fontId="58" fillId="38" borderId="3" xfId="0" applyNumberFormat="1" applyFont="1" applyFill="1" applyBorder="1" applyAlignment="1">
      <alignment horizontal="left" vertical="center"/>
    </xf>
    <xf numFmtId="1" fontId="52" fillId="38" borderId="7" xfId="0" applyNumberFormat="1" applyFont="1" applyFill="1" applyBorder="1" applyAlignment="1">
      <alignment horizontal="right" vertical="center"/>
    </xf>
    <xf numFmtId="1" fontId="52" fillId="38" borderId="5" xfId="0" applyNumberFormat="1" applyFont="1" applyFill="1" applyBorder="1" applyAlignment="1">
      <alignment horizontal="right" vertical="center"/>
    </xf>
    <xf numFmtId="1" fontId="52" fillId="38" borderId="3" xfId="0" applyNumberFormat="1" applyFont="1" applyFill="1" applyBorder="1" applyAlignment="1">
      <alignment horizontal="right" vertical="center"/>
    </xf>
    <xf numFmtId="0" fontId="14" fillId="0" borderId="0" xfId="1" applyAlignment="1" applyProtection="1"/>
    <xf numFmtId="9" fontId="0" fillId="10" borderId="1" xfId="0" applyNumberFormat="1" applyFill="1" applyBorder="1"/>
    <xf numFmtId="0" fontId="0" fillId="10" borderId="1" xfId="0" applyFill="1" applyBorder="1"/>
    <xf numFmtId="2" fontId="0" fillId="28" borderId="1" xfId="0" applyNumberFormat="1" applyFill="1" applyBorder="1"/>
    <xf numFmtId="2" fontId="9" fillId="28" borderId="1" xfId="0" applyNumberFormat="1" applyFont="1" applyFill="1" applyBorder="1"/>
    <xf numFmtId="2" fontId="10" fillId="43" borderId="13" xfId="0" applyNumberFormat="1" applyFont="1" applyFill="1" applyBorder="1" applyAlignment="1">
      <alignment horizontal="right"/>
    </xf>
    <xf numFmtId="3" fontId="10" fillId="6" borderId="1" xfId="0" applyNumberFormat="1" applyFont="1" applyFill="1" applyBorder="1" applyAlignment="1" applyProtection="1">
      <alignment horizontal="right"/>
      <protection locked="0"/>
    </xf>
    <xf numFmtId="2" fontId="52" fillId="57" borderId="0" xfId="0" applyNumberFormat="1" applyFont="1" applyFill="1"/>
    <xf numFmtId="168" fontId="0" fillId="23" borderId="13" xfId="3" applyNumberFormat="1" applyFont="1" applyFill="1" applyBorder="1" applyAlignment="1" applyProtection="1">
      <alignment horizontal="center" vertical="center"/>
      <protection locked="0"/>
    </xf>
    <xf numFmtId="2" fontId="41" fillId="34" borderId="11" xfId="0" applyNumberFormat="1" applyFont="1" applyFill="1" applyBorder="1" applyAlignment="1">
      <alignment horizontal="center"/>
    </xf>
    <xf numFmtId="2" fontId="10" fillId="43" borderId="12" xfId="0" applyNumberFormat="1" applyFont="1" applyFill="1" applyBorder="1" applyAlignment="1">
      <alignment horizontal="center"/>
    </xf>
    <xf numFmtId="2" fontId="10" fillId="43" borderId="14" xfId="0" applyNumberFormat="1" applyFont="1" applyFill="1" applyBorder="1" applyAlignment="1">
      <alignment horizontal="center"/>
    </xf>
    <xf numFmtId="2" fontId="10" fillId="15" borderId="0" xfId="0" applyNumberFormat="1" applyFont="1" applyFill="1"/>
    <xf numFmtId="0" fontId="10" fillId="6" borderId="1" xfId="0" applyFont="1" applyFill="1" applyBorder="1" applyAlignment="1" applyProtection="1">
      <alignment horizontal="left"/>
      <protection locked="0"/>
    </xf>
    <xf numFmtId="2" fontId="41" fillId="34" borderId="12" xfId="0" applyNumberFormat="1" applyFont="1" applyFill="1" applyBorder="1" applyProtection="1">
      <protection locked="0"/>
    </xf>
    <xf numFmtId="2" fontId="10" fillId="34" borderId="14" xfId="0" applyNumberFormat="1" applyFont="1" applyFill="1" applyBorder="1" applyProtection="1">
      <protection locked="0"/>
    </xf>
    <xf numFmtId="2" fontId="10" fillId="34" borderId="13" xfId="0" applyNumberFormat="1" applyFont="1" applyFill="1" applyBorder="1" applyProtection="1">
      <protection locked="0"/>
    </xf>
    <xf numFmtId="1" fontId="58" fillId="32" borderId="6" xfId="0" applyNumberFormat="1" applyFont="1" applyFill="1" applyBorder="1" applyAlignment="1" applyProtection="1">
      <alignment horizontal="left" vertical="center"/>
      <protection locked="0"/>
    </xf>
    <xf numFmtId="2" fontId="9" fillId="34" borderId="0" xfId="0" applyNumberFormat="1" applyFont="1" applyFill="1"/>
    <xf numFmtId="0" fontId="103" fillId="0" borderId="12" xfId="10" applyFont="1" applyBorder="1" applyAlignment="1">
      <alignment wrapText="1"/>
    </xf>
    <xf numFmtId="0" fontId="103" fillId="0" borderId="14" xfId="10" applyFont="1" applyBorder="1" applyAlignment="1">
      <alignment wrapText="1"/>
    </xf>
    <xf numFmtId="0" fontId="103" fillId="74" borderId="34" xfId="10" applyFont="1" applyFill="1" applyBorder="1" applyAlignment="1">
      <alignment wrapText="1"/>
    </xf>
    <xf numFmtId="0" fontId="103" fillId="0" borderId="13" xfId="10" applyFont="1" applyBorder="1" applyAlignment="1">
      <alignment wrapText="1"/>
    </xf>
    <xf numFmtId="0" fontId="103" fillId="52" borderId="0" xfId="10" applyFont="1" applyFill="1"/>
    <xf numFmtId="0" fontId="103" fillId="0" borderId="0" xfId="10" applyFont="1"/>
    <xf numFmtId="0" fontId="104" fillId="53" borderId="0" xfId="10" applyFont="1" applyFill="1" applyAlignment="1">
      <alignment horizontal="right"/>
    </xf>
    <xf numFmtId="0" fontId="103" fillId="0" borderId="0" xfId="10" applyFont="1" applyAlignment="1">
      <alignment horizontal="right"/>
    </xf>
    <xf numFmtId="0" fontId="103" fillId="52" borderId="0" xfId="10" applyFont="1" applyFill="1" applyAlignment="1">
      <alignment horizontal="right"/>
    </xf>
    <xf numFmtId="2" fontId="103" fillId="52" borderId="0" xfId="10" applyNumberFormat="1" applyFont="1" applyFill="1" applyAlignment="1">
      <alignment horizontal="right"/>
    </xf>
    <xf numFmtId="170" fontId="71" fillId="52" borderId="0" xfId="11" applyNumberFormat="1" applyFont="1" applyFill="1"/>
    <xf numFmtId="0" fontId="103" fillId="53" borderId="0" xfId="10" applyFont="1" applyFill="1"/>
    <xf numFmtId="0" fontId="103" fillId="54" borderId="0" xfId="10" applyFont="1" applyFill="1"/>
    <xf numFmtId="0" fontId="105" fillId="9" borderId="0" xfId="10" applyFont="1" applyFill="1"/>
    <xf numFmtId="0" fontId="70" fillId="9" borderId="0" xfId="10" applyFill="1"/>
    <xf numFmtId="0" fontId="70" fillId="52" borderId="0" xfId="10" applyFill="1"/>
    <xf numFmtId="0" fontId="70" fillId="0" borderId="0" xfId="10"/>
    <xf numFmtId="0" fontId="106" fillId="53" borderId="0" xfId="10" applyFont="1" applyFill="1" applyAlignment="1">
      <alignment horizontal="right"/>
    </xf>
    <xf numFmtId="0" fontId="70" fillId="0" borderId="0" xfId="10" applyAlignment="1">
      <alignment horizontal="right"/>
    </xf>
    <xf numFmtId="0" fontId="70" fillId="52" borderId="0" xfId="10" applyFill="1" applyAlignment="1">
      <alignment horizontal="right"/>
    </xf>
    <xf numFmtId="170" fontId="0" fillId="52" borderId="0" xfId="11" applyNumberFormat="1" applyFont="1" applyFill="1"/>
    <xf numFmtId="43" fontId="0" fillId="44" borderId="0" xfId="0" applyNumberFormat="1" applyFill="1"/>
    <xf numFmtId="43" fontId="0" fillId="44" borderId="11" xfId="0" applyNumberFormat="1" applyFill="1" applyBorder="1"/>
    <xf numFmtId="0" fontId="0" fillId="44" borderId="11" xfId="0" applyFill="1" applyBorder="1" applyAlignment="1">
      <alignment horizontal="center"/>
    </xf>
    <xf numFmtId="43" fontId="0" fillId="44" borderId="10" xfId="0" applyNumberFormat="1" applyFill="1" applyBorder="1"/>
    <xf numFmtId="0" fontId="0" fillId="44" borderId="10" xfId="0" applyFill="1" applyBorder="1" applyAlignment="1">
      <alignment horizontal="center"/>
    </xf>
    <xf numFmtId="3" fontId="10" fillId="24" borderId="0" xfId="0" applyNumberFormat="1" applyFont="1" applyFill="1" applyAlignment="1">
      <alignment horizontal="right" vertical="center"/>
    </xf>
    <xf numFmtId="2" fontId="60" fillId="24" borderId="0" xfId="0" applyNumberFormat="1" applyFont="1" applyFill="1"/>
    <xf numFmtId="0" fontId="0" fillId="44" borderId="11" xfId="0" applyFill="1" applyBorder="1"/>
    <xf numFmtId="0" fontId="0" fillId="44" borderId="10" xfId="0" applyFill="1" applyBorder="1"/>
    <xf numFmtId="2" fontId="9" fillId="85" borderId="1" xfId="0" quotePrefix="1" applyNumberFormat="1" applyFont="1" applyFill="1" applyBorder="1"/>
    <xf numFmtId="172" fontId="0" fillId="85" borderId="1" xfId="3" applyNumberFormat="1" applyFont="1" applyFill="1" applyBorder="1" applyProtection="1"/>
    <xf numFmtId="172" fontId="9" fillId="85" borderId="1" xfId="3" applyNumberFormat="1" applyFont="1" applyFill="1" applyBorder="1" applyProtection="1"/>
    <xf numFmtId="0" fontId="71" fillId="6" borderId="31" xfId="0" applyFont="1" applyFill="1" applyBorder="1" applyAlignment="1">
      <alignment vertical="center" wrapText="1"/>
    </xf>
    <xf numFmtId="0" fontId="71" fillId="6" borderId="31" xfId="0" applyFont="1" applyFill="1" applyBorder="1" applyAlignment="1">
      <alignment horizontal="center" vertical="center" wrapText="1"/>
    </xf>
    <xf numFmtId="0" fontId="71" fillId="6" borderId="32" xfId="0" applyFont="1" applyFill="1" applyBorder="1" applyAlignment="1">
      <alignment horizontal="center" vertical="center" wrapText="1"/>
    </xf>
    <xf numFmtId="0" fontId="71" fillId="6" borderId="33" xfId="0" applyFont="1" applyFill="1" applyBorder="1" applyAlignment="1">
      <alignment horizontal="center" vertical="center" wrapText="1"/>
    </xf>
    <xf numFmtId="0" fontId="71" fillId="6" borderId="33" xfId="0" applyFont="1" applyFill="1" applyBorder="1" applyAlignment="1">
      <alignment vertical="center" wrapText="1"/>
    </xf>
    <xf numFmtId="0" fontId="71" fillId="6" borderId="35" xfId="0" applyFont="1" applyFill="1" applyBorder="1" applyAlignment="1">
      <alignment horizontal="center" vertical="center" wrapText="1"/>
    </xf>
    <xf numFmtId="0" fontId="71" fillId="6" borderId="15" xfId="0" applyFont="1" applyFill="1" applyBorder="1" applyAlignment="1">
      <alignment vertical="center" wrapText="1"/>
    </xf>
    <xf numFmtId="0" fontId="71" fillId="6" borderId="36" xfId="0" applyFont="1" applyFill="1" applyBorder="1" applyAlignment="1">
      <alignment horizontal="justify" vertical="center" wrapText="1"/>
    </xf>
    <xf numFmtId="0" fontId="71" fillId="6" borderId="36" xfId="0" applyFont="1" applyFill="1" applyBorder="1" applyAlignment="1">
      <alignment horizontal="center" vertical="center" wrapText="1"/>
    </xf>
    <xf numFmtId="0" fontId="71" fillId="6" borderId="37" xfId="0" applyFont="1" applyFill="1" applyBorder="1" applyAlignment="1">
      <alignment horizontal="center" vertical="center" wrapText="1"/>
    </xf>
    <xf numFmtId="0" fontId="71" fillId="6" borderId="38" xfId="0" applyFont="1" applyFill="1" applyBorder="1" applyAlignment="1">
      <alignment horizontal="center" vertical="center" wrapText="1"/>
    </xf>
    <xf numFmtId="2" fontId="0" fillId="16" borderId="0" xfId="0" applyNumberFormat="1" applyFill="1"/>
    <xf numFmtId="2" fontId="41" fillId="16" borderId="0" xfId="0" applyNumberFormat="1" applyFont="1" applyFill="1"/>
    <xf numFmtId="1" fontId="10" fillId="49" borderId="0" xfId="0" applyNumberFormat="1" applyFont="1" applyFill="1" applyAlignment="1">
      <alignment horizontal="left" vertical="center"/>
    </xf>
    <xf numFmtId="2" fontId="77" fillId="31" borderId="0" xfId="0" applyNumberFormat="1" applyFont="1" applyFill="1"/>
    <xf numFmtId="172" fontId="10" fillId="21" borderId="1" xfId="3" applyNumberFormat="1" applyFont="1" applyFill="1" applyBorder="1"/>
    <xf numFmtId="165" fontId="0" fillId="29" borderId="1" xfId="0" applyNumberFormat="1" applyFill="1" applyBorder="1" applyAlignment="1">
      <alignment horizontal="center"/>
    </xf>
    <xf numFmtId="2" fontId="9" fillId="4" borderId="15" xfId="0" applyNumberFormat="1" applyFont="1" applyFill="1" applyBorder="1" applyAlignment="1">
      <alignment horizontal="left" wrapText="1"/>
    </xf>
    <xf numFmtId="2" fontId="0" fillId="4" borderId="40" xfId="0" applyNumberFormat="1" applyFill="1" applyBorder="1"/>
    <xf numFmtId="2" fontId="0" fillId="4" borderId="41" xfId="0" applyNumberFormat="1" applyFill="1" applyBorder="1"/>
    <xf numFmtId="2" fontId="0" fillId="4" borderId="42" xfId="0" applyNumberFormat="1" applyFill="1" applyBorder="1"/>
    <xf numFmtId="2" fontId="0" fillId="84" borderId="40" xfId="0" applyNumberFormat="1" applyFill="1" applyBorder="1"/>
    <xf numFmtId="2" fontId="0" fillId="84" borderId="44" xfId="0" applyNumberFormat="1" applyFill="1" applyBorder="1"/>
    <xf numFmtId="165" fontId="9" fillId="4" borderId="1" xfId="0" applyNumberFormat="1" applyFont="1" applyFill="1" applyBorder="1" applyAlignment="1">
      <alignment horizontal="center"/>
    </xf>
    <xf numFmtId="165" fontId="39" fillId="4" borderId="1" xfId="0" applyNumberFormat="1" applyFont="1" applyFill="1" applyBorder="1" applyAlignment="1">
      <alignment horizontal="center"/>
    </xf>
    <xf numFmtId="2" fontId="60" fillId="4" borderId="0" xfId="0" applyNumberFormat="1" applyFont="1" applyFill="1"/>
    <xf numFmtId="1" fontId="0" fillId="84" borderId="1" xfId="0" applyNumberFormat="1" applyFill="1" applyBorder="1" applyAlignment="1">
      <alignment horizontal="left"/>
    </xf>
    <xf numFmtId="2" fontId="9" fillId="84" borderId="4" xfId="0" applyNumberFormat="1" applyFont="1" applyFill="1" applyBorder="1" applyAlignment="1">
      <alignment vertical="center"/>
    </xf>
    <xf numFmtId="2" fontId="9" fillId="84" borderId="1" xfId="0" applyNumberFormat="1" applyFont="1" applyFill="1" applyBorder="1"/>
    <xf numFmtId="1" fontId="9" fillId="84" borderId="0" xfId="0" applyNumberFormat="1" applyFont="1" applyFill="1" applyAlignment="1">
      <alignment horizontal="right"/>
    </xf>
    <xf numFmtId="2" fontId="9" fillId="84" borderId="12" xfId="0" applyNumberFormat="1" applyFont="1" applyFill="1" applyBorder="1" applyAlignment="1">
      <alignment vertical="center"/>
    </xf>
    <xf numFmtId="2" fontId="9" fillId="4" borderId="4" xfId="0" applyNumberFormat="1" applyFont="1" applyFill="1" applyBorder="1"/>
    <xf numFmtId="2" fontId="9" fillId="17" borderId="4" xfId="0" applyNumberFormat="1" applyFont="1" applyFill="1" applyBorder="1"/>
    <xf numFmtId="2" fontId="9" fillId="17" borderId="1" xfId="0" applyNumberFormat="1" applyFont="1" applyFill="1" applyBorder="1"/>
    <xf numFmtId="2" fontId="9" fillId="4" borderId="0" xfId="0" applyNumberFormat="1" applyFont="1" applyFill="1" applyProtection="1">
      <protection locked="0"/>
    </xf>
    <xf numFmtId="2" fontId="9" fillId="7" borderId="1" xfId="0" applyNumberFormat="1" applyFont="1" applyFill="1" applyBorder="1" applyAlignment="1">
      <alignment horizontal="right"/>
    </xf>
    <xf numFmtId="2" fontId="9" fillId="60" borderId="12" xfId="0" applyNumberFormat="1" applyFont="1" applyFill="1" applyBorder="1" applyAlignment="1">
      <alignment horizontal="left" wrapText="1"/>
    </xf>
    <xf numFmtId="2" fontId="0" fillId="4" borderId="0" xfId="0" applyNumberFormat="1" applyFill="1" applyAlignment="1">
      <alignment horizontal="center"/>
    </xf>
    <xf numFmtId="2" fontId="0" fillId="7" borderId="12" xfId="0" applyNumberFormat="1" applyFill="1" applyBorder="1"/>
    <xf numFmtId="2" fontId="0" fillId="7" borderId="14" xfId="0" applyNumberFormat="1" applyFill="1" applyBorder="1"/>
    <xf numFmtId="2" fontId="9" fillId="7" borderId="1" xfId="0" applyNumberFormat="1" applyFont="1" applyFill="1" applyBorder="1" applyAlignment="1">
      <alignment vertical="center"/>
    </xf>
    <xf numFmtId="2" fontId="0" fillId="4" borderId="0" xfId="0" quotePrefix="1" applyNumberFormat="1" applyFill="1"/>
    <xf numFmtId="1" fontId="0" fillId="4" borderId="0" xfId="0" applyNumberFormat="1" applyFill="1" applyAlignment="1">
      <alignment horizontal="center"/>
    </xf>
    <xf numFmtId="1" fontId="10" fillId="15" borderId="0" xfId="0" applyNumberFormat="1" applyFont="1" applyFill="1" applyAlignment="1">
      <alignment horizontal="center"/>
    </xf>
    <xf numFmtId="2" fontId="10" fillId="4" borderId="0" xfId="0" quotePrefix="1" applyNumberFormat="1" applyFont="1" applyFill="1"/>
    <xf numFmtId="2" fontId="0" fillId="69" borderId="0" xfId="0" applyNumberFormat="1" applyFill="1"/>
    <xf numFmtId="2" fontId="9" fillId="69" borderId="0" xfId="0" quotePrefix="1" applyNumberFormat="1" applyFont="1" applyFill="1"/>
    <xf numFmtId="9" fontId="0" fillId="15" borderId="0" xfId="2" applyFont="1" applyFill="1" applyProtection="1"/>
    <xf numFmtId="43" fontId="0" fillId="15" borderId="0" xfId="3" applyFont="1" applyFill="1" applyProtection="1"/>
    <xf numFmtId="2" fontId="0" fillId="4" borderId="1" xfId="0" applyNumberFormat="1" applyFill="1" applyBorder="1" applyAlignment="1">
      <alignment horizontal="left" indent="1"/>
    </xf>
    <xf numFmtId="1" fontId="10" fillId="20" borderId="6" xfId="0" applyNumberFormat="1" applyFont="1" applyFill="1" applyBorder="1" applyAlignment="1">
      <alignment horizontal="center"/>
    </xf>
    <xf numFmtId="166" fontId="0" fillId="43" borderId="1" xfId="0" applyNumberFormat="1" applyFill="1" applyBorder="1" applyAlignment="1">
      <alignment horizontal="right"/>
    </xf>
    <xf numFmtId="1" fontId="10" fillId="20" borderId="4" xfId="0" applyNumberFormat="1" applyFont="1" applyFill="1" applyBorder="1" applyAlignment="1">
      <alignment horizontal="center"/>
    </xf>
    <xf numFmtId="166" fontId="10" fillId="48" borderId="1" xfId="0" applyNumberFormat="1" applyFont="1" applyFill="1" applyBorder="1" applyAlignment="1">
      <alignment horizontal="right"/>
    </xf>
    <xf numFmtId="166" fontId="10" fillId="5" borderId="0" xfId="0" quotePrefix="1" applyNumberFormat="1" applyFont="1" applyFill="1" applyAlignment="1">
      <alignment horizontal="left"/>
    </xf>
    <xf numFmtId="165" fontId="0" fillId="0" borderId="0" xfId="0" applyNumberFormat="1"/>
    <xf numFmtId="49" fontId="0" fillId="0" borderId="0" xfId="0" applyNumberFormat="1" applyAlignment="1">
      <alignment horizontal="left"/>
    </xf>
    <xf numFmtId="0" fontId="56" fillId="0" borderId="0" xfId="0" applyFont="1" applyAlignment="1">
      <alignment horizontal="left"/>
    </xf>
    <xf numFmtId="166" fontId="10" fillId="6" borderId="0" xfId="0" quotePrefix="1" applyNumberFormat="1" applyFont="1" applyFill="1" applyAlignment="1">
      <alignment horizontal="left"/>
    </xf>
    <xf numFmtId="165" fontId="0" fillId="6" borderId="0" xfId="0" applyNumberFormat="1" applyFill="1"/>
    <xf numFmtId="0" fontId="0" fillId="6" borderId="0" xfId="0" applyFill="1" applyAlignment="1">
      <alignment horizontal="left"/>
    </xf>
    <xf numFmtId="165" fontId="0" fillId="6" borderId="0" xfId="0" applyNumberFormat="1" applyFill="1" applyAlignment="1">
      <alignment horizontal="left"/>
    </xf>
    <xf numFmtId="166" fontId="10" fillId="6" borderId="10" xfId="0" quotePrefix="1" applyNumberFormat="1" applyFont="1" applyFill="1" applyBorder="1" applyAlignment="1">
      <alignment horizontal="left"/>
    </xf>
    <xf numFmtId="166" fontId="10" fillId="5" borderId="11" xfId="0" quotePrefix="1" applyNumberFormat="1" applyFont="1" applyFill="1" applyBorder="1" applyAlignment="1">
      <alignment horizontal="left"/>
    </xf>
    <xf numFmtId="49" fontId="0" fillId="5" borderId="11" xfId="0" applyNumberFormat="1" applyFill="1" applyBorder="1" applyAlignment="1">
      <alignment horizontal="left"/>
    </xf>
    <xf numFmtId="165" fontId="10" fillId="5" borderId="4" xfId="0" applyNumberFormat="1" applyFont="1" applyFill="1" applyBorder="1"/>
    <xf numFmtId="165" fontId="10" fillId="5" borderId="11" xfId="0" applyNumberFormat="1" applyFont="1" applyFill="1" applyBorder="1" applyAlignment="1">
      <alignment horizontal="left"/>
    </xf>
    <xf numFmtId="166" fontId="10" fillId="5" borderId="6" xfId="0" quotePrefix="1" applyNumberFormat="1" applyFont="1" applyFill="1" applyBorder="1" applyAlignment="1">
      <alignment horizontal="left"/>
    </xf>
    <xf numFmtId="165" fontId="9" fillId="5" borderId="6" xfId="0" quotePrefix="1" applyNumberFormat="1" applyFont="1" applyFill="1" applyBorder="1"/>
    <xf numFmtId="165" fontId="0" fillId="5" borderId="6" xfId="0" applyNumberFormat="1" applyFill="1" applyBorder="1"/>
    <xf numFmtId="165" fontId="10" fillId="5" borderId="5" xfId="0" applyNumberFormat="1" applyFont="1" applyFill="1" applyBorder="1" applyAlignment="1">
      <alignment horizontal="left"/>
    </xf>
    <xf numFmtId="165" fontId="0" fillId="5" borderId="7" xfId="0" applyNumberFormat="1" applyFill="1" applyBorder="1" applyAlignment="1">
      <alignment horizontal="left"/>
    </xf>
    <xf numFmtId="165" fontId="0" fillId="5" borderId="7" xfId="0" applyNumberFormat="1" applyFill="1" applyBorder="1"/>
    <xf numFmtId="1" fontId="10" fillId="5" borderId="4" xfId="0" applyNumberFormat="1" applyFont="1" applyFill="1" applyBorder="1" applyAlignment="1">
      <alignment horizontal="center"/>
    </xf>
    <xf numFmtId="1" fontId="10" fillId="5" borderId="11" xfId="0" applyNumberFormat="1" applyFont="1" applyFill="1" applyBorder="1" applyAlignment="1">
      <alignment horizontal="center"/>
    </xf>
    <xf numFmtId="1" fontId="10" fillId="5" borderId="5" xfId="0" applyNumberFormat="1" applyFont="1" applyFill="1" applyBorder="1" applyAlignment="1">
      <alignment horizontal="center"/>
    </xf>
    <xf numFmtId="1" fontId="0" fillId="5" borderId="6" xfId="0" applyNumberFormat="1" applyFill="1" applyBorder="1" applyAlignment="1">
      <alignment horizontal="center"/>
    </xf>
    <xf numFmtId="165" fontId="10" fillId="5" borderId="7" xfId="0" quotePrefix="1" applyNumberFormat="1" applyFont="1" applyFill="1" applyBorder="1"/>
    <xf numFmtId="165" fontId="9" fillId="5" borderId="7" xfId="0" quotePrefix="1" applyNumberFormat="1" applyFont="1" applyFill="1" applyBorder="1"/>
    <xf numFmtId="1" fontId="0" fillId="0" borderId="6" xfId="0" applyNumberFormat="1" applyBorder="1" applyAlignment="1">
      <alignment horizontal="left"/>
    </xf>
    <xf numFmtId="165" fontId="0" fillId="0" borderId="7" xfId="0" applyNumberFormat="1" applyBorder="1"/>
    <xf numFmtId="165" fontId="9" fillId="0" borderId="7" xfId="0" applyNumberFormat="1" applyFont="1" applyBorder="1"/>
    <xf numFmtId="1" fontId="0" fillId="86" borderId="0" xfId="0" applyNumberFormat="1" applyFill="1" applyAlignment="1">
      <alignment horizontal="center"/>
    </xf>
    <xf numFmtId="165" fontId="0" fillId="86" borderId="0" xfId="0" applyNumberFormat="1" applyFill="1"/>
    <xf numFmtId="165" fontId="0" fillId="86" borderId="0" xfId="0" applyNumberFormat="1" applyFill="1" applyAlignment="1">
      <alignment horizontal="right"/>
    </xf>
    <xf numFmtId="165" fontId="0" fillId="86" borderId="0" xfId="0" applyNumberFormat="1" applyFill="1" applyAlignment="1">
      <alignment horizontal="center"/>
    </xf>
    <xf numFmtId="1" fontId="10" fillId="86" borderId="0" xfId="0" applyNumberFormat="1" applyFont="1" applyFill="1" applyAlignment="1">
      <alignment horizontal="left"/>
    </xf>
    <xf numFmtId="1" fontId="0" fillId="0" borderId="0" xfId="0" applyNumberFormat="1" applyAlignment="1">
      <alignment horizontal="center"/>
    </xf>
    <xf numFmtId="165" fontId="0" fillId="0" borderId="0" xfId="0" applyNumberFormat="1" applyAlignment="1">
      <alignment horizontal="right"/>
    </xf>
    <xf numFmtId="165" fontId="0" fillId="0" borderId="0" xfId="0" applyNumberFormat="1" applyAlignment="1">
      <alignment horizontal="center"/>
    </xf>
    <xf numFmtId="1" fontId="0" fillId="0" borderId="22" xfId="0" applyNumberFormat="1" applyBorder="1" applyAlignment="1">
      <alignment horizontal="center"/>
    </xf>
    <xf numFmtId="166" fontId="10" fillId="0" borderId="23" xfId="0" quotePrefix="1" applyNumberFormat="1" applyFont="1" applyBorder="1" applyAlignment="1">
      <alignment horizontal="left"/>
    </xf>
    <xf numFmtId="166" fontId="10" fillId="0" borderId="15" xfId="0" quotePrefix="1" applyNumberFormat="1" applyFont="1" applyBorder="1" applyAlignment="1">
      <alignment horizontal="left"/>
    </xf>
    <xf numFmtId="165" fontId="10" fillId="5" borderId="1" xfId="0" applyNumberFormat="1" applyFont="1" applyFill="1" applyBorder="1" applyAlignment="1">
      <alignment horizontal="left"/>
    </xf>
    <xf numFmtId="1" fontId="10" fillId="0" borderId="0" xfId="0" applyNumberFormat="1" applyFont="1" applyAlignment="1">
      <alignment horizontal="center"/>
    </xf>
    <xf numFmtId="165" fontId="0" fillId="43" borderId="1" xfId="0" applyNumberFormat="1" applyFill="1" applyBorder="1"/>
    <xf numFmtId="1" fontId="10" fillId="52" borderId="0" xfId="0" applyNumberFormat="1" applyFont="1" applyFill="1" applyAlignment="1">
      <alignment horizontal="left"/>
    </xf>
    <xf numFmtId="1" fontId="0" fillId="52" borderId="0" xfId="0" applyNumberFormat="1" applyFill="1" applyAlignment="1">
      <alignment horizontal="center"/>
    </xf>
    <xf numFmtId="165" fontId="0" fillId="52" borderId="0" xfId="0" applyNumberFormat="1" applyFill="1"/>
    <xf numFmtId="165" fontId="0" fillId="52" borderId="0" xfId="0" applyNumberFormat="1" applyFill="1" applyAlignment="1">
      <alignment horizontal="right"/>
    </xf>
    <xf numFmtId="165" fontId="0" fillId="52" borderId="0" xfId="0" applyNumberFormat="1" applyFill="1" applyAlignment="1">
      <alignment horizontal="center"/>
    </xf>
    <xf numFmtId="2" fontId="0" fillId="87" borderId="0" xfId="0" applyNumberFormat="1" applyFill="1"/>
    <xf numFmtId="2" fontId="10" fillId="87" borderId="0" xfId="0" applyNumberFormat="1" applyFont="1" applyFill="1"/>
    <xf numFmtId="1" fontId="0" fillId="6" borderId="1" xfId="0" applyNumberFormat="1" applyFill="1" applyBorder="1" applyAlignment="1">
      <alignment horizontal="center"/>
    </xf>
    <xf numFmtId="1" fontId="0" fillId="54" borderId="6" xfId="0" applyNumberFormat="1" applyFill="1" applyBorder="1" applyAlignment="1">
      <alignment horizontal="left"/>
    </xf>
    <xf numFmtId="1" fontId="0" fillId="0" borderId="1" xfId="0" applyNumberFormat="1" applyBorder="1" applyAlignment="1">
      <alignment horizontal="center"/>
    </xf>
    <xf numFmtId="165" fontId="10" fillId="5" borderId="12" xfId="0" applyNumberFormat="1" applyFont="1" applyFill="1" applyBorder="1" applyAlignment="1">
      <alignment horizontal="left"/>
    </xf>
    <xf numFmtId="165" fontId="0" fillId="0" borderId="12" xfId="0" applyNumberFormat="1" applyBorder="1" applyAlignment="1">
      <alignment horizontal="center"/>
    </xf>
    <xf numFmtId="2" fontId="10" fillId="15" borderId="1" xfId="0" applyNumberFormat="1" applyFont="1" applyFill="1" applyBorder="1" applyAlignment="1">
      <alignment horizontal="right"/>
    </xf>
    <xf numFmtId="165" fontId="10" fillId="15" borderId="1" xfId="0" applyNumberFormat="1" applyFont="1" applyFill="1" applyBorder="1"/>
    <xf numFmtId="165" fontId="0" fillId="88" borderId="1" xfId="0" applyNumberFormat="1" applyFill="1" applyBorder="1" applyAlignment="1">
      <alignment horizontal="center"/>
    </xf>
    <xf numFmtId="1" fontId="9" fillId="0" borderId="6" xfId="0" applyNumberFormat="1" applyFont="1" applyBorder="1" applyAlignment="1">
      <alignment horizontal="left"/>
    </xf>
    <xf numFmtId="1" fontId="0" fillId="5" borderId="4" xfId="0" applyNumberFormat="1" applyFill="1" applyBorder="1"/>
    <xf numFmtId="1" fontId="9" fillId="5" borderId="11" xfId="0" applyNumberFormat="1" applyFont="1" applyFill="1" applyBorder="1" applyAlignment="1">
      <alignment horizontal="center"/>
    </xf>
    <xf numFmtId="1" fontId="0" fillId="5" borderId="11" xfId="0" applyNumberFormat="1" applyFill="1" applyBorder="1" applyAlignment="1">
      <alignment horizontal="center"/>
    </xf>
    <xf numFmtId="165" fontId="0" fillId="5" borderId="11" xfId="0" applyNumberFormat="1" applyFill="1" applyBorder="1" applyAlignment="1">
      <alignment horizontal="right"/>
    </xf>
    <xf numFmtId="165" fontId="0" fillId="5" borderId="5" xfId="0" applyNumberFormat="1" applyFill="1" applyBorder="1" applyAlignment="1">
      <alignment horizontal="right"/>
    </xf>
    <xf numFmtId="1" fontId="0" fillId="5" borderId="6" xfId="0" applyNumberFormat="1" applyFill="1" applyBorder="1"/>
    <xf numFmtId="165" fontId="0" fillId="5" borderId="7" xfId="0" applyNumberFormat="1" applyFill="1" applyBorder="1" applyAlignment="1">
      <alignment horizontal="right"/>
    </xf>
    <xf numFmtId="1" fontId="9" fillId="0" borderId="2" xfId="0" quotePrefix="1" applyNumberFormat="1" applyFont="1" applyBorder="1" applyAlignment="1">
      <alignment horizontal="left"/>
    </xf>
    <xf numFmtId="1" fontId="9" fillId="0" borderId="10" xfId="0" quotePrefix="1" applyNumberFormat="1" applyFont="1" applyBorder="1" applyAlignment="1">
      <alignment horizontal="left"/>
    </xf>
    <xf numFmtId="1" fontId="9" fillId="0" borderId="3" xfId="0" quotePrefix="1" applyNumberFormat="1" applyFont="1" applyBorder="1" applyAlignment="1">
      <alignment horizontal="left"/>
    </xf>
    <xf numFmtId="1" fontId="10" fillId="5" borderId="12" xfId="0" applyNumberFormat="1" applyFont="1" applyFill="1" applyBorder="1"/>
    <xf numFmtId="1" fontId="10" fillId="5" borderId="14" xfId="0" applyNumberFormat="1" applyFont="1" applyFill="1" applyBorder="1" applyAlignment="1">
      <alignment horizontal="center"/>
    </xf>
    <xf numFmtId="165" fontId="10" fillId="5" borderId="14" xfId="0" applyNumberFormat="1" applyFont="1" applyFill="1" applyBorder="1"/>
    <xf numFmtId="165" fontId="10" fillId="5" borderId="14" xfId="0" applyNumberFormat="1" applyFont="1" applyFill="1" applyBorder="1" applyAlignment="1">
      <alignment horizontal="left"/>
    </xf>
    <xf numFmtId="165" fontId="10" fillId="5" borderId="13" xfId="0" applyNumberFormat="1" applyFont="1" applyFill="1" applyBorder="1" applyAlignment="1">
      <alignment horizontal="left"/>
    </xf>
    <xf numFmtId="2" fontId="107" fillId="4" borderId="0" xfId="0" applyNumberFormat="1" applyFont="1" applyFill="1"/>
    <xf numFmtId="2" fontId="52" fillId="24" borderId="0" xfId="0" applyNumberFormat="1" applyFont="1" applyFill="1" applyAlignment="1">
      <alignment horizontal="center" vertical="center"/>
    </xf>
    <xf numFmtId="2" fontId="61" fillId="89" borderId="1" xfId="0" applyNumberFormat="1" applyFont="1" applyFill="1" applyBorder="1"/>
    <xf numFmtId="2" fontId="0" fillId="84" borderId="0" xfId="0" applyNumberFormat="1" applyFill="1"/>
    <xf numFmtId="49" fontId="0" fillId="5" borderId="0" xfId="0" applyNumberFormat="1" applyFill="1" applyAlignment="1">
      <alignment horizontal="left"/>
    </xf>
    <xf numFmtId="166" fontId="10" fillId="6" borderId="11" xfId="0" quotePrefix="1" applyNumberFormat="1" applyFont="1" applyFill="1" applyBorder="1" applyAlignment="1">
      <alignment horizontal="left"/>
    </xf>
    <xf numFmtId="165" fontId="0" fillId="6" borderId="11" xfId="0" applyNumberFormat="1" applyFill="1" applyBorder="1"/>
    <xf numFmtId="49" fontId="0" fillId="6" borderId="11" xfId="0" applyNumberFormat="1" applyFill="1" applyBorder="1" applyAlignment="1">
      <alignment horizontal="left"/>
    </xf>
    <xf numFmtId="165" fontId="0" fillId="6" borderId="11" xfId="0" applyNumberFormat="1" applyFill="1" applyBorder="1" applyAlignment="1">
      <alignment horizontal="left"/>
    </xf>
    <xf numFmtId="49" fontId="0" fillId="6" borderId="0" xfId="0" applyNumberFormat="1" applyFill="1" applyAlignment="1">
      <alignment horizontal="left"/>
    </xf>
    <xf numFmtId="1" fontId="109" fillId="5" borderId="0" xfId="0" applyNumberFormat="1" applyFont="1" applyFill="1" applyAlignment="1">
      <alignment horizontal="left"/>
    </xf>
    <xf numFmtId="165" fontId="0" fillId="92" borderId="6" xfId="0" applyNumberFormat="1" applyFill="1" applyBorder="1"/>
    <xf numFmtId="165" fontId="0" fillId="93" borderId="6" xfId="0" applyNumberFormat="1" applyFill="1" applyBorder="1"/>
    <xf numFmtId="165" fontId="0" fillId="90" borderId="0" xfId="0" applyNumberFormat="1" applyFill="1"/>
    <xf numFmtId="165" fontId="0" fillId="74" borderId="6" xfId="0" applyNumberFormat="1" applyFill="1" applyBorder="1"/>
    <xf numFmtId="165" fontId="0" fillId="76" borderId="6" xfId="0" applyNumberFormat="1" applyFill="1" applyBorder="1"/>
    <xf numFmtId="165" fontId="85" fillId="0" borderId="0" xfId="12" applyNumberFormat="1" applyAlignment="1">
      <alignment horizontal="left"/>
    </xf>
    <xf numFmtId="165" fontId="85" fillId="0" borderId="7" xfId="12" applyNumberFormat="1" applyBorder="1" applyAlignment="1">
      <alignment horizontal="left"/>
    </xf>
    <xf numFmtId="165" fontId="0" fillId="0" borderId="0" xfId="0" applyNumberFormat="1" applyAlignment="1">
      <alignment horizontal="left"/>
    </xf>
    <xf numFmtId="165" fontId="0" fillId="0" borderId="7" xfId="0" applyNumberFormat="1" applyBorder="1" applyAlignment="1">
      <alignment horizontal="left"/>
    </xf>
    <xf numFmtId="165" fontId="0" fillId="94" borderId="0" xfId="0" applyNumberFormat="1" applyFill="1"/>
    <xf numFmtId="1" fontId="0" fillId="91" borderId="0" xfId="0" applyNumberFormat="1" applyFill="1" applyAlignment="1">
      <alignment horizontal="center"/>
    </xf>
    <xf numFmtId="165" fontId="0" fillId="91" borderId="0" xfId="0" applyNumberFormat="1" applyFill="1"/>
    <xf numFmtId="165" fontId="0" fillId="91" borderId="0" xfId="0" applyNumberFormat="1" applyFill="1" applyAlignment="1">
      <alignment horizontal="right"/>
    </xf>
    <xf numFmtId="165" fontId="0" fillId="91" borderId="0" xfId="0" applyNumberFormat="1" applyFill="1" applyAlignment="1">
      <alignment horizontal="center"/>
    </xf>
    <xf numFmtId="2" fontId="0" fillId="4" borderId="0" xfId="0" applyNumberFormat="1" applyFill="1" applyProtection="1">
      <protection locked="0"/>
    </xf>
    <xf numFmtId="2" fontId="0" fillId="95" borderId="10" xfId="0" applyNumberFormat="1" applyFill="1" applyBorder="1" applyAlignment="1">
      <alignment horizontal="left"/>
    </xf>
    <xf numFmtId="9" fontId="0" fillId="4" borderId="0" xfId="2" applyFont="1" applyFill="1" applyProtection="1">
      <protection locked="0"/>
    </xf>
    <xf numFmtId="2" fontId="9" fillId="45" borderId="0" xfId="0" quotePrefix="1" applyNumberFormat="1" applyFont="1" applyFill="1" applyProtection="1">
      <protection locked="0"/>
    </xf>
    <xf numFmtId="2" fontId="39" fillId="4" borderId="0" xfId="0" applyNumberFormat="1" applyFont="1" applyFill="1"/>
    <xf numFmtId="2" fontId="9" fillId="4" borderId="12" xfId="0" applyNumberFormat="1" applyFont="1" applyFill="1" applyBorder="1" applyAlignment="1">
      <alignment horizontal="right"/>
    </xf>
    <xf numFmtId="2" fontId="9" fillId="50" borderId="1" xfId="0" quotePrefix="1" applyNumberFormat="1" applyFont="1" applyFill="1" applyBorder="1"/>
    <xf numFmtId="2" fontId="10" fillId="78" borderId="0" xfId="0" applyNumberFormat="1" applyFont="1" applyFill="1"/>
    <xf numFmtId="2" fontId="39" fillId="19" borderId="0" xfId="0" applyNumberFormat="1" applyFont="1" applyFill="1" applyProtection="1">
      <protection locked="0"/>
    </xf>
    <xf numFmtId="2" fontId="39" fillId="4" borderId="0" xfId="0" applyNumberFormat="1" applyFont="1" applyFill="1" applyProtection="1">
      <protection locked="0"/>
    </xf>
    <xf numFmtId="1" fontId="0" fillId="16" borderId="1" xfId="0" applyNumberFormat="1" applyFill="1" applyBorder="1"/>
    <xf numFmtId="0" fontId="39" fillId="29" borderId="0" xfId="2" applyNumberFormat="1" applyFont="1" applyFill="1" applyProtection="1">
      <protection locked="0"/>
    </xf>
    <xf numFmtId="2" fontId="10" fillId="84" borderId="43" xfId="0" applyNumberFormat="1" applyFont="1" applyFill="1" applyBorder="1"/>
    <xf numFmtId="2" fontId="10" fillId="4" borderId="39" xfId="0" applyNumberFormat="1" applyFont="1" applyFill="1" applyBorder="1"/>
    <xf numFmtId="2" fontId="9" fillId="24" borderId="0" xfId="0" quotePrefix="1" applyNumberFormat="1" applyFont="1" applyFill="1" applyAlignment="1">
      <alignment horizontal="left" vertical="top"/>
    </xf>
    <xf numFmtId="2" fontId="10" fillId="39" borderId="0" xfId="0" applyNumberFormat="1" applyFont="1" applyFill="1"/>
    <xf numFmtId="0" fontId="39" fillId="11" borderId="0" xfId="0" applyFont="1" applyFill="1"/>
    <xf numFmtId="2" fontId="0" fillId="60" borderId="1" xfId="0" applyNumberFormat="1" applyFill="1" applyBorder="1"/>
    <xf numFmtId="2" fontId="9" fillId="60" borderId="23" xfId="0" applyNumberFormat="1" applyFont="1" applyFill="1" applyBorder="1"/>
    <xf numFmtId="2" fontId="9" fillId="60" borderId="15" xfId="0" applyNumberFormat="1" applyFont="1" applyFill="1" applyBorder="1"/>
    <xf numFmtId="2" fontId="39" fillId="7" borderId="1" xfId="0" applyNumberFormat="1" applyFont="1" applyFill="1" applyBorder="1" applyAlignment="1">
      <alignment horizontal="left"/>
    </xf>
    <xf numFmtId="2" fontId="39" fillId="4" borderId="0" xfId="0" applyNumberFormat="1" applyFont="1" applyFill="1" applyAlignment="1">
      <alignment horizontal="right"/>
    </xf>
    <xf numFmtId="172" fontId="39" fillId="7" borderId="1" xfId="3" applyNumberFormat="1" applyFont="1" applyFill="1" applyBorder="1" applyAlignment="1" applyProtection="1">
      <alignment horizontal="center"/>
    </xf>
    <xf numFmtId="166" fontId="0" fillId="60" borderId="1" xfId="0" applyNumberFormat="1" applyFill="1" applyBorder="1" applyAlignment="1">
      <alignment horizontal="center"/>
    </xf>
    <xf numFmtId="166" fontId="9" fillId="60" borderId="1" xfId="0" applyNumberFormat="1" applyFont="1" applyFill="1" applyBorder="1" applyAlignment="1">
      <alignment horizontal="center"/>
    </xf>
    <xf numFmtId="166" fontId="9" fillId="60" borderId="1" xfId="0" applyNumberFormat="1" applyFont="1" applyFill="1" applyBorder="1" applyAlignment="1">
      <alignment horizontal="left"/>
    </xf>
    <xf numFmtId="172" fontId="39" fillId="60" borderId="1" xfId="3" applyNumberFormat="1" applyFont="1" applyFill="1" applyBorder="1" applyAlignment="1" applyProtection="1">
      <alignment horizontal="center"/>
    </xf>
    <xf numFmtId="2" fontId="39" fillId="60" borderId="1" xfId="0" applyNumberFormat="1" applyFont="1" applyFill="1" applyBorder="1" applyAlignment="1">
      <alignment horizontal="left"/>
    </xf>
    <xf numFmtId="2" fontId="24" fillId="4" borderId="0" xfId="0" applyNumberFormat="1" applyFont="1" applyFill="1" applyAlignment="1">
      <alignment horizontal="right"/>
    </xf>
    <xf numFmtId="166" fontId="39" fillId="7" borderId="1" xfId="0" applyNumberFormat="1" applyFont="1" applyFill="1" applyBorder="1" applyAlignment="1">
      <alignment horizontal="left"/>
    </xf>
    <xf numFmtId="2" fontId="9" fillId="29" borderId="1" xfId="0" applyNumberFormat="1" applyFont="1" applyFill="1" applyBorder="1" applyAlignment="1">
      <alignment horizontal="left"/>
    </xf>
    <xf numFmtId="2" fontId="0" fillId="4" borderId="0" xfId="0" applyNumberFormat="1" applyFill="1" applyAlignment="1">
      <alignment horizontal="left" wrapText="1"/>
    </xf>
    <xf numFmtId="2" fontId="9" fillId="29" borderId="1" xfId="0" applyNumberFormat="1" applyFont="1" applyFill="1" applyBorder="1"/>
    <xf numFmtId="2" fontId="74" fillId="40" borderId="0" xfId="0" applyNumberFormat="1" applyFont="1" applyFill="1" applyAlignment="1">
      <alignment horizontal="left" vertical="center"/>
    </xf>
    <xf numFmtId="167" fontId="0" fillId="6" borderId="1" xfId="0" applyNumberFormat="1" applyFill="1" applyBorder="1" applyAlignment="1" applyProtection="1">
      <alignment horizontal="right"/>
      <protection locked="0"/>
    </xf>
    <xf numFmtId="0" fontId="107" fillId="0" borderId="0" xfId="0" quotePrefix="1" applyFont="1"/>
    <xf numFmtId="0" fontId="10" fillId="83" borderId="1" xfId="0" applyFont="1" applyFill="1" applyBorder="1"/>
    <xf numFmtId="49" fontId="9" fillId="6" borderId="11" xfId="0" quotePrefix="1" applyNumberFormat="1" applyFont="1" applyFill="1" applyBorder="1" applyAlignment="1" applyProtection="1">
      <alignment horizontal="left"/>
      <protection locked="0"/>
    </xf>
    <xf numFmtId="2" fontId="114" fillId="40" borderId="0" xfId="0" applyNumberFormat="1" applyFont="1" applyFill="1" applyAlignment="1" applyProtection="1">
      <alignment horizontal="left" vertical="center"/>
      <protection locked="0"/>
    </xf>
    <xf numFmtId="2" fontId="9" fillId="7" borderId="22" xfId="0" applyNumberFormat="1" applyFont="1" applyFill="1" applyBorder="1" applyAlignment="1">
      <alignment wrapText="1"/>
    </xf>
    <xf numFmtId="2" fontId="9" fillId="7" borderId="1" xfId="0" applyNumberFormat="1" applyFont="1" applyFill="1" applyBorder="1" applyAlignment="1">
      <alignment wrapText="1"/>
    </xf>
    <xf numFmtId="165" fontId="0" fillId="60" borderId="1" xfId="0" applyNumberFormat="1" applyFill="1" applyBorder="1" applyAlignment="1">
      <alignment horizontal="center"/>
    </xf>
    <xf numFmtId="166" fontId="0" fillId="60" borderId="1" xfId="0" applyNumberFormat="1" applyFill="1" applyBorder="1" applyAlignment="1">
      <alignment horizontal="center" vertical="center"/>
    </xf>
    <xf numFmtId="172" fontId="0" fillId="60" borderId="1" xfId="3" applyNumberFormat="1" applyFont="1" applyFill="1" applyBorder="1" applyAlignment="1" applyProtection="1">
      <alignment horizontal="center" vertical="center"/>
    </xf>
    <xf numFmtId="0" fontId="0" fillId="54" borderId="1" xfId="0" applyFill="1" applyBorder="1"/>
    <xf numFmtId="0" fontId="39" fillId="0" borderId="0" xfId="0" applyFont="1"/>
    <xf numFmtId="0" fontId="0" fillId="51" borderId="0" xfId="0" applyFill="1"/>
    <xf numFmtId="0" fontId="10" fillId="86" borderId="0" xfId="0" applyFont="1" applyFill="1"/>
    <xf numFmtId="0" fontId="10" fillId="0" borderId="0" xfId="0" applyFont="1" applyAlignment="1">
      <alignment horizontal="right"/>
    </xf>
    <xf numFmtId="165" fontId="10" fillId="5" borderId="0" xfId="4" applyNumberFormat="1" applyFont="1" applyFill="1" applyAlignment="1">
      <alignment horizontal="right"/>
    </xf>
    <xf numFmtId="0" fontId="0" fillId="11" borderId="1" xfId="0" applyFill="1" applyBorder="1"/>
    <xf numFmtId="2" fontId="0" fillId="64" borderId="1" xfId="0" applyNumberFormat="1" applyFill="1" applyBorder="1"/>
    <xf numFmtId="2" fontId="0" fillId="64" borderId="1" xfId="0" quotePrefix="1" applyNumberFormat="1" applyFill="1" applyBorder="1"/>
    <xf numFmtId="165" fontId="9" fillId="56" borderId="0" xfId="4" applyNumberFormat="1" applyFont="1" applyFill="1"/>
    <xf numFmtId="0" fontId="93" fillId="52" borderId="1" xfId="0" applyFont="1" applyFill="1" applyBorder="1"/>
    <xf numFmtId="0" fontId="93" fillId="52" borderId="1" xfId="0" applyFont="1" applyFill="1" applyBorder="1" applyAlignment="1">
      <alignment horizontal="center" wrapText="1"/>
    </xf>
    <xf numFmtId="0" fontId="0" fillId="96" borderId="1" xfId="0" applyFill="1" applyBorder="1" applyAlignment="1">
      <alignment horizontal="center"/>
    </xf>
    <xf numFmtId="1" fontId="0" fillId="97" borderId="1" xfId="0" applyNumberFormat="1" applyFill="1" applyBorder="1"/>
    <xf numFmtId="2" fontId="107" fillId="4" borderId="0" xfId="0" quotePrefix="1" applyNumberFormat="1" applyFont="1" applyFill="1"/>
    <xf numFmtId="0" fontId="85" fillId="11" borderId="0" xfId="12" applyFill="1" applyAlignment="1">
      <alignment horizontal="left" wrapText="1"/>
    </xf>
    <xf numFmtId="0" fontId="85" fillId="11" borderId="0" xfId="12" quotePrefix="1" applyFill="1" applyAlignment="1">
      <alignment horizontal="left" wrapText="1"/>
    </xf>
    <xf numFmtId="0" fontId="21" fillId="11" borderId="0" xfId="0" applyFont="1" applyFill="1" applyAlignment="1">
      <alignment horizontal="right" vertical="top"/>
    </xf>
    <xf numFmtId="0" fontId="91" fillId="11" borderId="0" xfId="12" applyFont="1" applyFill="1"/>
    <xf numFmtId="0" fontId="116" fillId="11" borderId="0" xfId="12" applyFont="1" applyFill="1"/>
    <xf numFmtId="9" fontId="0" fillId="43" borderId="1" xfId="2" applyFont="1" applyFill="1" applyBorder="1" applyAlignment="1" applyProtection="1">
      <alignment vertical="top"/>
    </xf>
    <xf numFmtId="170" fontId="0" fillId="15" borderId="0" xfId="2" applyNumberFormat="1" applyFont="1" applyFill="1" applyAlignment="1" applyProtection="1">
      <alignment horizontal="center"/>
    </xf>
    <xf numFmtId="2" fontId="22" fillId="19" borderId="11" xfId="0" applyNumberFormat="1" applyFont="1" applyFill="1" applyBorder="1" applyAlignment="1">
      <alignment vertical="top"/>
    </xf>
    <xf numFmtId="2" fontId="9" fillId="84" borderId="0" xfId="0" applyNumberFormat="1" applyFont="1" applyFill="1"/>
    <xf numFmtId="0" fontId="0" fillId="64" borderId="0" xfId="0" applyFill="1" applyAlignment="1" applyProtection="1">
      <alignment vertical="center"/>
      <protection locked="0"/>
    </xf>
    <xf numFmtId="2" fontId="0" fillId="34" borderId="14" xfId="0" applyNumberFormat="1" applyFill="1" applyBorder="1" applyProtection="1">
      <protection locked="0"/>
    </xf>
    <xf numFmtId="0" fontId="86" fillId="64" borderId="0" xfId="12" applyFont="1" applyFill="1" applyAlignment="1" applyProtection="1">
      <alignment horizontal="left" vertical="center"/>
      <protection locked="0"/>
    </xf>
    <xf numFmtId="0" fontId="85" fillId="11" borderId="0" xfId="12" applyFill="1" applyAlignment="1">
      <alignment horizontal="left" vertical="top" wrapText="1"/>
    </xf>
    <xf numFmtId="0" fontId="85" fillId="11" borderId="0" xfId="12" quotePrefix="1" applyFill="1" applyAlignment="1">
      <alignment horizontal="left" vertical="top" wrapText="1"/>
    </xf>
    <xf numFmtId="2" fontId="0" fillId="98" borderId="0" xfId="0" applyNumberFormat="1" applyFill="1" applyProtection="1">
      <protection locked="0"/>
    </xf>
    <xf numFmtId="2" fontId="0" fillId="24" borderId="6" xfId="0" applyNumberFormat="1" applyFill="1" applyBorder="1" applyProtection="1">
      <protection locked="0"/>
    </xf>
    <xf numFmtId="166" fontId="0" fillId="17" borderId="0" xfId="0" applyNumberFormat="1" applyFill="1"/>
    <xf numFmtId="2" fontId="39" fillId="19" borderId="1" xfId="0" applyNumberFormat="1" applyFont="1" applyFill="1" applyBorder="1" applyAlignment="1">
      <alignment horizontal="left" indent="1"/>
    </xf>
    <xf numFmtId="14" fontId="2" fillId="64" borderId="0" xfId="0" applyNumberFormat="1" applyFont="1" applyFill="1" applyAlignment="1">
      <alignment horizontal="left" vertical="top"/>
    </xf>
    <xf numFmtId="0" fontId="14" fillId="64" borderId="0" xfId="1" applyFill="1" applyBorder="1" applyAlignment="1" applyProtection="1">
      <alignment horizontal="left"/>
    </xf>
    <xf numFmtId="0" fontId="87" fillId="64" borderId="0" xfId="13" applyFill="1" applyBorder="1" applyAlignment="1" applyProtection="1">
      <alignment horizontal="left"/>
    </xf>
    <xf numFmtId="14" fontId="2" fillId="64" borderId="0" xfId="12" applyNumberFormat="1" applyFont="1" applyFill="1" applyAlignment="1">
      <alignment horizontal="left" vertical="top"/>
    </xf>
    <xf numFmtId="2" fontId="10" fillId="99" borderId="11" xfId="0" applyNumberFormat="1" applyFont="1" applyFill="1" applyBorder="1" applyAlignment="1">
      <alignment horizontal="right"/>
    </xf>
    <xf numFmtId="2" fontId="10" fillId="99" borderId="11" xfId="0" applyNumberFormat="1" applyFont="1" applyFill="1" applyBorder="1" applyAlignment="1">
      <alignment horizontal="left"/>
    </xf>
    <xf numFmtId="0" fontId="14" fillId="44" borderId="11" xfId="1" applyFill="1" applyBorder="1" applyAlignment="1" applyProtection="1">
      <alignment horizontal="left"/>
    </xf>
    <xf numFmtId="2" fontId="9" fillId="24" borderId="0" xfId="0" applyNumberFormat="1" applyFont="1" applyFill="1" applyAlignment="1">
      <alignment horizontal="left"/>
    </xf>
    <xf numFmtId="3" fontId="60" fillId="24" borderId="0" xfId="0" applyNumberFormat="1" applyFont="1" applyFill="1" applyProtection="1">
      <protection locked="0"/>
    </xf>
    <xf numFmtId="165" fontId="9" fillId="5" borderId="0" xfId="0" quotePrefix="1" applyNumberFormat="1" applyFont="1" applyFill="1" applyAlignment="1">
      <alignment wrapText="1"/>
    </xf>
    <xf numFmtId="165" fontId="13" fillId="5" borderId="0" xfId="0" applyNumberFormat="1" applyFont="1" applyFill="1"/>
    <xf numFmtId="165" fontId="13" fillId="5" borderId="0" xfId="0" applyNumberFormat="1" applyFont="1" applyFill="1" applyAlignment="1">
      <alignment horizontal="left"/>
    </xf>
    <xf numFmtId="165" fontId="13" fillId="5" borderId="0" xfId="0" applyNumberFormat="1" applyFont="1" applyFill="1" applyAlignment="1">
      <alignment vertical="top"/>
    </xf>
    <xf numFmtId="164" fontId="0" fillId="24" borderId="10" xfId="0" applyNumberFormat="1" applyFill="1" applyBorder="1"/>
    <xf numFmtId="167" fontId="0" fillId="43" borderId="12" xfId="0" applyNumberFormat="1" applyFill="1" applyBorder="1" applyAlignment="1">
      <alignment vertical="center"/>
    </xf>
    <xf numFmtId="1" fontId="0" fillId="16" borderId="0" xfId="0" applyNumberFormat="1" applyFill="1"/>
    <xf numFmtId="9" fontId="0" fillId="4" borderId="12" xfId="2" applyFont="1" applyFill="1" applyBorder="1" applyAlignment="1" applyProtection="1">
      <alignment horizontal="center"/>
    </xf>
    <xf numFmtId="2" fontId="9" fillId="4" borderId="7" xfId="0" applyNumberFormat="1" applyFont="1" applyFill="1" applyBorder="1"/>
    <xf numFmtId="2" fontId="0" fillId="7" borderId="13" xfId="0" applyNumberFormat="1" applyFill="1" applyBorder="1" applyAlignment="1">
      <alignment horizontal="right"/>
    </xf>
    <xf numFmtId="2" fontId="0" fillId="0" borderId="0" xfId="0" applyNumberFormat="1" applyAlignment="1">
      <alignment horizontal="right"/>
    </xf>
    <xf numFmtId="2" fontId="0" fillId="0" borderId="0" xfId="0" applyNumberFormat="1" applyAlignment="1">
      <alignment horizontal="left" indent="1"/>
    </xf>
    <xf numFmtId="2" fontId="9" fillId="83" borderId="0" xfId="0" applyNumberFormat="1" applyFont="1" applyFill="1"/>
    <xf numFmtId="2" fontId="0" fillId="87" borderId="0" xfId="0" applyNumberFormat="1" applyFill="1" applyAlignment="1">
      <alignment horizontal="right"/>
    </xf>
    <xf numFmtId="2" fontId="0" fillId="100" borderId="0" xfId="0" applyNumberFormat="1" applyFill="1" applyAlignment="1">
      <alignment horizontal="left" indent="1"/>
    </xf>
    <xf numFmtId="2" fontId="9" fillId="100" borderId="0" xfId="0" applyNumberFormat="1" applyFont="1" applyFill="1" applyAlignment="1">
      <alignment horizontal="left" indent="1"/>
    </xf>
    <xf numFmtId="2" fontId="10" fillId="34" borderId="0" xfId="0" applyNumberFormat="1" applyFont="1" applyFill="1" applyAlignment="1">
      <alignment horizontal="left" indent="1"/>
    </xf>
    <xf numFmtId="3" fontId="119" fillId="4" borderId="1" xfId="0" applyNumberFormat="1" applyFont="1" applyFill="1" applyBorder="1" applyAlignment="1">
      <alignment horizontal="center" vertical="center"/>
    </xf>
    <xf numFmtId="0" fontId="9" fillId="6" borderId="1" xfId="0" applyFont="1" applyFill="1" applyBorder="1" applyAlignment="1" applyProtection="1">
      <alignment horizontal="center"/>
      <protection locked="0"/>
    </xf>
    <xf numFmtId="0" fontId="9" fillId="6" borderId="1" xfId="0" applyFont="1" applyFill="1" applyBorder="1" applyProtection="1">
      <protection locked="0"/>
    </xf>
    <xf numFmtId="1" fontId="0" fillId="5" borderId="0" xfId="0" applyNumberFormat="1" applyFill="1" applyAlignment="1">
      <alignment horizontal="left"/>
    </xf>
    <xf numFmtId="0" fontId="5" fillId="11" borderId="0" xfId="12" applyFont="1" applyFill="1" applyAlignment="1">
      <alignment horizontal="left" vertical="top" wrapText="1"/>
    </xf>
    <xf numFmtId="0" fontId="6" fillId="11" borderId="0" xfId="12" applyFont="1" applyFill="1" applyAlignment="1">
      <alignment horizontal="left" vertical="top" wrapText="1"/>
    </xf>
    <xf numFmtId="0" fontId="91" fillId="11" borderId="0" xfId="12" applyFont="1" applyFill="1" applyAlignment="1">
      <alignment horizontal="left" wrapText="1"/>
    </xf>
    <xf numFmtId="0" fontId="85" fillId="11" borderId="0" xfId="12" applyFill="1" applyAlignment="1">
      <alignment horizontal="left" wrapText="1"/>
    </xf>
    <xf numFmtId="0" fontId="85" fillId="11" borderId="0" xfId="12" applyFill="1" applyAlignment="1">
      <alignment horizontal="left"/>
    </xf>
    <xf numFmtId="0" fontId="91" fillId="11" borderId="0" xfId="12" applyFont="1" applyFill="1" applyAlignment="1">
      <alignment horizontal="left"/>
    </xf>
    <xf numFmtId="0" fontId="85" fillId="11" borderId="0" xfId="12" applyFill="1" applyAlignment="1">
      <alignment horizontal="left" vertical="top" wrapText="1"/>
    </xf>
    <xf numFmtId="0" fontId="90" fillId="11" borderId="0" xfId="12" applyFont="1" applyFill="1"/>
    <xf numFmtId="0" fontId="85" fillId="64" borderId="20" xfId="12" applyFill="1" applyBorder="1" applyAlignment="1">
      <alignment horizontal="left" vertical="center"/>
    </xf>
    <xf numFmtId="0" fontId="81" fillId="11" borderId="0" xfId="12" applyFont="1" applyFill="1" applyAlignment="1">
      <alignment horizontal="left" wrapText="1"/>
    </xf>
    <xf numFmtId="0" fontId="4" fillId="11" borderId="0" xfId="12" applyFont="1" applyFill="1" applyAlignment="1">
      <alignment horizontal="left" vertical="top" wrapText="1"/>
    </xf>
    <xf numFmtId="0" fontId="89" fillId="66" borderId="0" xfId="12" applyFont="1" applyFill="1" applyAlignment="1">
      <alignment vertical="center"/>
    </xf>
    <xf numFmtId="0" fontId="89" fillId="66" borderId="0" xfId="12" applyFont="1" applyFill="1" applyAlignment="1">
      <alignment vertical="top" wrapText="1"/>
    </xf>
    <xf numFmtId="0" fontId="14" fillId="64" borderId="20" xfId="1" applyFill="1" applyBorder="1" applyAlignment="1" applyProtection="1">
      <alignment horizontal="left" vertical="center"/>
    </xf>
    <xf numFmtId="0" fontId="85" fillId="11" borderId="0" xfId="12" quotePrefix="1" applyFill="1" applyAlignment="1">
      <alignment horizontal="left" wrapText="1"/>
    </xf>
    <xf numFmtId="0" fontId="41" fillId="11" borderId="0" xfId="0" applyFont="1" applyFill="1" applyAlignment="1">
      <alignment horizontal="left" vertical="top"/>
    </xf>
    <xf numFmtId="0" fontId="9" fillId="11" borderId="0" xfId="0" applyFont="1" applyFill="1" applyAlignment="1">
      <alignment horizontal="left" vertical="top" wrapText="1"/>
    </xf>
    <xf numFmtId="0" fontId="0" fillId="11" borderId="0" xfId="0" applyFill="1" applyAlignment="1">
      <alignment horizontal="left" vertical="top" wrapText="1"/>
    </xf>
    <xf numFmtId="0" fontId="9" fillId="11" borderId="0" xfId="0" applyFont="1" applyFill="1" applyAlignment="1">
      <alignment horizontal="left" wrapText="1"/>
    </xf>
    <xf numFmtId="0" fontId="0" fillId="11" borderId="0" xfId="0" applyFill="1" applyAlignment="1">
      <alignment horizontal="left" wrapText="1"/>
    </xf>
    <xf numFmtId="0" fontId="14" fillId="11" borderId="0" xfId="1" applyFill="1" applyAlignment="1" applyProtection="1">
      <alignment horizontal="left" vertical="top" wrapText="1"/>
    </xf>
    <xf numFmtId="0" fontId="82" fillId="11" borderId="0" xfId="0" applyFont="1" applyFill="1" applyAlignment="1">
      <alignment wrapText="1"/>
    </xf>
    <xf numFmtId="0" fontId="9" fillId="11" borderId="0" xfId="0" applyFont="1" applyFill="1" applyAlignment="1">
      <alignment horizontal="right" vertical="top" wrapText="1"/>
    </xf>
    <xf numFmtId="0" fontId="9" fillId="11" borderId="0" xfId="0" applyFont="1" applyFill="1" applyAlignment="1">
      <alignment vertical="top" wrapText="1"/>
    </xf>
    <xf numFmtId="0" fontId="0" fillId="11" borderId="0" xfId="0" applyFill="1" applyAlignment="1">
      <alignment vertical="top" wrapText="1"/>
    </xf>
    <xf numFmtId="0" fontId="81" fillId="11" borderId="0" xfId="0" applyFont="1" applyFill="1" applyAlignment="1">
      <alignment horizontal="left" vertical="top" wrapText="1"/>
    </xf>
    <xf numFmtId="0" fontId="14" fillId="11" borderId="0" xfId="1" applyFill="1" applyAlignment="1" applyProtection="1">
      <alignment horizontal="left" vertical="top"/>
    </xf>
    <xf numFmtId="0" fontId="84" fillId="11" borderId="0" xfId="0" applyFont="1" applyFill="1" applyAlignment="1">
      <alignment wrapText="1"/>
    </xf>
    <xf numFmtId="0" fontId="9" fillId="11" borderId="0" xfId="0" applyFont="1" applyFill="1" applyAlignment="1">
      <alignment wrapText="1"/>
    </xf>
    <xf numFmtId="0" fontId="0" fillId="11" borderId="0" xfId="0" applyFill="1" applyAlignment="1">
      <alignment wrapText="1"/>
    </xf>
    <xf numFmtId="0" fontId="9" fillId="10" borderId="12" xfId="0" applyFont="1" applyFill="1" applyBorder="1" applyAlignment="1">
      <alignment horizontal="left" vertical="center" wrapText="1" indent="1"/>
    </xf>
    <xf numFmtId="0" fontId="9" fillId="10" borderId="14" xfId="0" applyFont="1" applyFill="1" applyBorder="1" applyAlignment="1">
      <alignment horizontal="left" vertical="center" wrapText="1" indent="1"/>
    </xf>
    <xf numFmtId="0" fontId="9" fillId="10" borderId="13" xfId="0" applyFont="1" applyFill="1" applyBorder="1" applyAlignment="1">
      <alignment horizontal="left" vertical="center" wrapText="1" indent="1"/>
    </xf>
    <xf numFmtId="0" fontId="14" fillId="11" borderId="0" xfId="1" applyFill="1" applyAlignment="1" applyProtection="1">
      <alignment vertical="top" wrapText="1"/>
    </xf>
    <xf numFmtId="0" fontId="9" fillId="0" borderId="0" xfId="0" applyFont="1"/>
    <xf numFmtId="0" fontId="0" fillId="0" borderId="0" xfId="0"/>
    <xf numFmtId="0" fontId="9" fillId="11" borderId="0" xfId="0" applyFont="1" applyFill="1" applyAlignment="1">
      <alignment horizontal="left" vertical="top" wrapText="1" indent="2"/>
    </xf>
    <xf numFmtId="0" fontId="0" fillId="11" borderId="0" xfId="0" applyFill="1" applyAlignment="1">
      <alignment horizontal="left" vertical="top" wrapText="1" indent="2"/>
    </xf>
    <xf numFmtId="0" fontId="14" fillId="11" borderId="0" xfId="1" applyFill="1" applyAlignment="1" applyProtection="1">
      <alignment horizontal="left" vertical="top" wrapText="1" indent="3"/>
    </xf>
    <xf numFmtId="0" fontId="10" fillId="11" borderId="0" xfId="0" applyFont="1" applyFill="1" applyAlignment="1">
      <alignment horizontal="left" vertical="top" wrapText="1" indent="2"/>
    </xf>
    <xf numFmtId="0" fontId="14" fillId="65" borderId="20" xfId="1" applyFill="1" applyBorder="1" applyAlignment="1" applyProtection="1">
      <alignment horizontal="left" vertical="center"/>
    </xf>
    <xf numFmtId="0" fontId="3" fillId="11" borderId="0" xfId="0" applyFont="1" applyFill="1" applyAlignment="1">
      <alignment horizontal="left" vertical="top" wrapText="1"/>
    </xf>
    <xf numFmtId="0" fontId="7" fillId="11" borderId="0" xfId="0" applyFont="1" applyFill="1" applyAlignment="1">
      <alignment horizontal="left" vertical="top" wrapText="1"/>
    </xf>
    <xf numFmtId="0" fontId="5" fillId="11" borderId="0" xfId="0" applyFont="1" applyFill="1" applyAlignment="1">
      <alignment horizontal="left" vertical="top" wrapText="1"/>
    </xf>
    <xf numFmtId="0" fontId="14" fillId="11" borderId="0" xfId="1" applyFill="1" applyBorder="1" applyAlignment="1" applyProtection="1">
      <alignment horizontal="left" vertical="center"/>
    </xf>
    <xf numFmtId="0" fontId="14" fillId="11" borderId="0" xfId="1" applyFill="1" applyAlignment="1" applyProtection="1">
      <alignment horizontal="left" vertical="top" wrapText="1" indent="1"/>
    </xf>
    <xf numFmtId="0" fontId="9" fillId="11" borderId="0" xfId="0" applyFont="1" applyFill="1" applyAlignment="1">
      <alignment horizontal="left"/>
    </xf>
    <xf numFmtId="0" fontId="0" fillId="11" borderId="0" xfId="0" applyFill="1" applyAlignment="1">
      <alignment horizontal="left"/>
    </xf>
    <xf numFmtId="0" fontId="4" fillId="11" borderId="0" xfId="0" applyFont="1" applyFill="1" applyAlignment="1">
      <alignment horizontal="left" vertical="top" wrapText="1"/>
    </xf>
    <xf numFmtId="0" fontId="0" fillId="11" borderId="0" xfId="0" applyFill="1"/>
    <xf numFmtId="0" fontId="92" fillId="11" borderId="0" xfId="0" applyFont="1" applyFill="1" applyAlignment="1">
      <alignment horizontal="left" vertical="center"/>
    </xf>
    <xf numFmtId="0" fontId="9" fillId="11" borderId="0" xfId="0" applyFont="1" applyFill="1"/>
    <xf numFmtId="0" fontId="115" fillId="11" borderId="0" xfId="0" applyFont="1" applyFill="1" applyAlignment="1">
      <alignment horizontal="left" wrapText="1"/>
    </xf>
    <xf numFmtId="0" fontId="80" fillId="10" borderId="0" xfId="0" applyFont="1" applyFill="1" applyAlignment="1">
      <alignment horizontal="left" vertical="top" wrapText="1"/>
    </xf>
    <xf numFmtId="0" fontId="85" fillId="11" borderId="0" xfId="12" quotePrefix="1" applyFill="1" applyAlignment="1">
      <alignment horizontal="left" vertical="top" wrapText="1"/>
    </xf>
    <xf numFmtId="0" fontId="72" fillId="71" borderId="11" xfId="0" applyFont="1" applyFill="1" applyBorder="1" applyAlignment="1" applyProtection="1">
      <alignment horizontal="left" vertical="center" wrapText="1"/>
      <protection locked="0"/>
    </xf>
    <xf numFmtId="0" fontId="72" fillId="71" borderId="0" xfId="0" applyFont="1" applyFill="1" applyAlignment="1" applyProtection="1">
      <alignment horizontal="left" vertical="center" wrapText="1"/>
      <protection locked="0"/>
    </xf>
    <xf numFmtId="2" fontId="22" fillId="19" borderId="14" xfId="0" applyNumberFormat="1" applyFont="1" applyFill="1" applyBorder="1" applyAlignment="1">
      <alignment horizontal="left" vertical="top" wrapText="1"/>
    </xf>
    <xf numFmtId="166" fontId="0" fillId="20" borderId="1" xfId="0" applyNumberFormat="1" applyFill="1" applyBorder="1" applyAlignment="1">
      <alignment horizontal="center" vertical="center"/>
    </xf>
    <xf numFmtId="2" fontId="10" fillId="20" borderId="1" xfId="0" applyNumberFormat="1" applyFont="1" applyFill="1" applyBorder="1" applyAlignment="1">
      <alignment horizontal="center"/>
    </xf>
    <xf numFmtId="2" fontId="14" fillId="34" borderId="11" xfId="1" applyNumberFormat="1" applyFill="1" applyBorder="1" applyAlignment="1" applyProtection="1">
      <alignment horizontal="left" vertical="center"/>
      <protection locked="0"/>
    </xf>
    <xf numFmtId="2" fontId="14" fillId="34" borderId="5" xfId="1" applyNumberFormat="1" applyFill="1" applyBorder="1" applyAlignment="1" applyProtection="1">
      <alignment horizontal="left" vertical="center"/>
      <protection locked="0"/>
    </xf>
    <xf numFmtId="2" fontId="37" fillId="23" borderId="1" xfId="0" applyNumberFormat="1" applyFont="1" applyFill="1" applyBorder="1" applyAlignment="1" applyProtection="1">
      <alignment horizontal="left"/>
      <protection locked="0"/>
    </xf>
    <xf numFmtId="2" fontId="37" fillId="23" borderId="12" xfId="0" applyNumberFormat="1" applyFont="1" applyFill="1" applyBorder="1" applyAlignment="1" applyProtection="1">
      <alignment horizontal="left"/>
      <protection locked="0"/>
    </xf>
    <xf numFmtId="2" fontId="14" fillId="34" borderId="14" xfId="1" applyNumberFormat="1" applyFill="1" applyBorder="1" applyAlignment="1" applyProtection="1">
      <alignment horizontal="left" vertical="center"/>
      <protection locked="0"/>
    </xf>
    <xf numFmtId="2" fontId="14" fillId="34" borderId="13" xfId="1" applyNumberFormat="1" applyFill="1" applyBorder="1" applyAlignment="1" applyProtection="1">
      <alignment horizontal="left" vertical="center"/>
      <protection locked="0"/>
    </xf>
    <xf numFmtId="2" fontId="0" fillId="43" borderId="12" xfId="0" applyNumberFormat="1" applyFill="1" applyBorder="1" applyAlignment="1" applyProtection="1">
      <alignment horizontal="left" vertical="center" wrapText="1"/>
      <protection locked="0"/>
    </xf>
    <xf numFmtId="2" fontId="0" fillId="43" borderId="14" xfId="0" applyNumberFormat="1" applyFill="1" applyBorder="1" applyAlignment="1" applyProtection="1">
      <alignment horizontal="left" vertical="center" wrapText="1"/>
      <protection locked="0"/>
    </xf>
    <xf numFmtId="2" fontId="0" fillId="43" borderId="13" xfId="0" applyNumberFormat="1" applyFill="1" applyBorder="1" applyAlignment="1" applyProtection="1">
      <alignment horizontal="left" vertical="center" wrapText="1"/>
      <protection locked="0"/>
    </xf>
    <xf numFmtId="172" fontId="9" fillId="43" borderId="12" xfId="3" applyNumberFormat="1" applyFont="1" applyFill="1" applyBorder="1" applyAlignment="1" applyProtection="1">
      <alignment vertical="center" wrapText="1"/>
    </xf>
    <xf numFmtId="172" fontId="9" fillId="43" borderId="14" xfId="3" applyNumberFormat="1" applyFont="1" applyFill="1" applyBorder="1" applyAlignment="1" applyProtection="1">
      <alignment vertical="center" wrapText="1"/>
    </xf>
    <xf numFmtId="172" fontId="9" fillId="43" borderId="13" xfId="3" applyNumberFormat="1" applyFont="1" applyFill="1" applyBorder="1" applyAlignment="1" applyProtection="1">
      <alignment vertical="center" wrapText="1"/>
    </xf>
    <xf numFmtId="166" fontId="0" fillId="43" borderId="12" xfId="0" applyNumberFormat="1" applyFill="1" applyBorder="1" applyAlignment="1">
      <alignment horizontal="center" vertical="center"/>
    </xf>
    <xf numFmtId="166" fontId="0" fillId="43" borderId="13" xfId="0" applyNumberFormat="1" applyFill="1" applyBorder="1" applyAlignment="1">
      <alignment horizontal="center" vertical="center"/>
    </xf>
    <xf numFmtId="49" fontId="10" fillId="34" borderId="14" xfId="0" applyNumberFormat="1" applyFont="1" applyFill="1" applyBorder="1" applyAlignment="1">
      <alignment horizontal="center"/>
    </xf>
    <xf numFmtId="0" fontId="14" fillId="44" borderId="0" xfId="1" applyFill="1" applyBorder="1" applyAlignment="1" applyProtection="1">
      <alignment horizontal="left"/>
    </xf>
    <xf numFmtId="166" fontId="10" fillId="20" borderId="1" xfId="0" applyNumberFormat="1" applyFont="1" applyFill="1" applyBorder="1" applyAlignment="1">
      <alignment horizontal="center" wrapText="1"/>
    </xf>
    <xf numFmtId="166" fontId="0" fillId="43" borderId="1" xfId="0" applyNumberFormat="1" applyFill="1" applyBorder="1" applyAlignment="1">
      <alignment horizontal="center" vertical="center"/>
    </xf>
    <xf numFmtId="2" fontId="0" fillId="24" borderId="12" xfId="0" applyNumberFormat="1" applyFill="1" applyBorder="1"/>
    <xf numFmtId="2" fontId="0" fillId="24" borderId="14" xfId="0" applyNumberFormat="1" applyFill="1" applyBorder="1"/>
    <xf numFmtId="2" fontId="10" fillId="20" borderId="5" xfId="0" applyNumberFormat="1" applyFont="1" applyFill="1" applyBorder="1" applyAlignment="1">
      <alignment horizontal="center"/>
    </xf>
    <xf numFmtId="2" fontId="10" fillId="20" borderId="3" xfId="0" applyNumberFormat="1" applyFont="1" applyFill="1" applyBorder="1" applyAlignment="1">
      <alignment horizontal="center"/>
    </xf>
    <xf numFmtId="49" fontId="10" fillId="20" borderId="4" xfId="0" applyNumberFormat="1" applyFont="1" applyFill="1" applyBorder="1" applyAlignment="1">
      <alignment horizontal="center"/>
    </xf>
    <xf numFmtId="49" fontId="10" fillId="20" borderId="2" xfId="0" applyNumberFormat="1" applyFont="1" applyFill="1" applyBorder="1" applyAlignment="1">
      <alignment horizontal="center"/>
    </xf>
    <xf numFmtId="2" fontId="10" fillId="43" borderId="12" xfId="0" applyNumberFormat="1" applyFont="1" applyFill="1" applyBorder="1" applyAlignment="1">
      <alignment horizontal="right"/>
    </xf>
    <xf numFmtId="2" fontId="10" fillId="43" borderId="14" xfId="0" applyNumberFormat="1" applyFont="1" applyFill="1" applyBorder="1" applyAlignment="1">
      <alignment horizontal="right"/>
    </xf>
    <xf numFmtId="2" fontId="10" fillId="43" borderId="13" xfId="0" applyNumberFormat="1" applyFont="1" applyFill="1" applyBorder="1" applyAlignment="1">
      <alignment horizontal="right"/>
    </xf>
    <xf numFmtId="2" fontId="9" fillId="23" borderId="12" xfId="0" applyNumberFormat="1" applyFont="1" applyFill="1" applyBorder="1" applyAlignment="1" applyProtection="1">
      <alignment horizontal="left"/>
      <protection locked="0"/>
    </xf>
    <xf numFmtId="2" fontId="0" fillId="23" borderId="14" xfId="0" applyNumberFormat="1" applyFill="1" applyBorder="1" applyAlignment="1" applyProtection="1">
      <alignment horizontal="left"/>
      <protection locked="0"/>
    </xf>
    <xf numFmtId="2" fontId="0" fillId="23" borderId="13" xfId="0" applyNumberFormat="1" applyFill="1" applyBorder="1" applyAlignment="1" applyProtection="1">
      <alignment horizontal="left"/>
      <protection locked="0"/>
    </xf>
    <xf numFmtId="2" fontId="10" fillId="20" borderId="22" xfId="0" applyNumberFormat="1" applyFont="1" applyFill="1" applyBorder="1" applyAlignment="1">
      <alignment horizontal="center"/>
    </xf>
    <xf numFmtId="2" fontId="10" fillId="20" borderId="15" xfId="0" applyNumberFormat="1" applyFont="1" applyFill="1" applyBorder="1" applyAlignment="1">
      <alignment horizontal="center"/>
    </xf>
    <xf numFmtId="2" fontId="10" fillId="24" borderId="0" xfId="0" applyNumberFormat="1" applyFont="1" applyFill="1" applyAlignment="1">
      <alignment horizontal="right"/>
    </xf>
    <xf numFmtId="2" fontId="10" fillId="24" borderId="7" xfId="0" applyNumberFormat="1" applyFont="1" applyFill="1" applyBorder="1" applyAlignment="1">
      <alignment horizontal="right"/>
    </xf>
    <xf numFmtId="166" fontId="41" fillId="20" borderId="13" xfId="0" applyNumberFormat="1" applyFont="1" applyFill="1" applyBorder="1" applyAlignment="1">
      <alignment horizontal="center"/>
    </xf>
    <xf numFmtId="166" fontId="41" fillId="20" borderId="1" xfId="0" applyNumberFormat="1" applyFont="1" applyFill="1" applyBorder="1" applyAlignment="1">
      <alignment horizontal="center"/>
    </xf>
    <xf numFmtId="2" fontId="10" fillId="20" borderId="12" xfId="0" applyNumberFormat="1" applyFont="1" applyFill="1" applyBorder="1" applyAlignment="1">
      <alignment horizontal="center"/>
    </xf>
    <xf numFmtId="2" fontId="10" fillId="20" borderId="13" xfId="0" applyNumberFormat="1" applyFont="1" applyFill="1" applyBorder="1" applyAlignment="1">
      <alignment horizontal="center"/>
    </xf>
    <xf numFmtId="2" fontId="9" fillId="43" borderId="14" xfId="0" applyNumberFormat="1" applyFont="1" applyFill="1" applyBorder="1" applyAlignment="1">
      <alignment horizontal="left" vertical="center"/>
    </xf>
    <xf numFmtId="2" fontId="9" fillId="43" borderId="13" xfId="0" applyNumberFormat="1" applyFont="1" applyFill="1" applyBorder="1" applyAlignment="1">
      <alignment horizontal="left" vertical="center"/>
    </xf>
    <xf numFmtId="1" fontId="9" fillId="43" borderId="1" xfId="0" applyNumberFormat="1" applyFont="1" applyFill="1" applyBorder="1" applyAlignment="1">
      <alignment horizontal="center" vertical="center"/>
    </xf>
    <xf numFmtId="2" fontId="0" fillId="24" borderId="0" xfId="0" applyNumberFormat="1" applyFill="1" applyAlignment="1">
      <alignment horizontal="left" vertical="center" wrapText="1" indent="1"/>
    </xf>
    <xf numFmtId="2" fontId="0" fillId="24" borderId="7" xfId="0" applyNumberFormat="1" applyFill="1" applyBorder="1" applyAlignment="1">
      <alignment horizontal="left" vertical="center" wrapText="1" indent="1"/>
    </xf>
    <xf numFmtId="2" fontId="14" fillId="19" borderId="11" xfId="1" applyNumberFormat="1" applyFill="1" applyBorder="1" applyAlignment="1" applyProtection="1">
      <alignment horizontal="left"/>
    </xf>
    <xf numFmtId="2" fontId="37" fillId="23" borderId="1" xfId="0" applyNumberFormat="1" applyFont="1" applyFill="1" applyBorder="1" applyAlignment="1" applyProtection="1">
      <alignment horizontal="center" vertical="center"/>
      <protection locked="0"/>
    </xf>
    <xf numFmtId="2" fontId="9" fillId="43" borderId="1" xfId="0" applyNumberFormat="1" applyFont="1" applyFill="1" applyBorder="1" applyAlignment="1">
      <alignment horizontal="center" vertical="center"/>
    </xf>
    <xf numFmtId="1" fontId="9" fillId="43" borderId="22" xfId="0" applyNumberFormat="1" applyFont="1" applyFill="1" applyBorder="1" applyAlignment="1">
      <alignment horizontal="center" vertical="center"/>
    </xf>
    <xf numFmtId="166" fontId="9" fillId="43" borderId="1" xfId="0" applyNumberFormat="1" applyFont="1" applyFill="1" applyBorder="1" applyAlignment="1">
      <alignment horizontal="center" vertical="center"/>
    </xf>
    <xf numFmtId="2" fontId="9" fillId="43" borderId="12" xfId="0" applyNumberFormat="1" applyFont="1" applyFill="1" applyBorder="1" applyAlignment="1">
      <alignment horizontal="left" vertical="center"/>
    </xf>
    <xf numFmtId="165" fontId="0" fillId="43" borderId="13" xfId="0" applyNumberFormat="1" applyFill="1" applyBorder="1" applyAlignment="1">
      <alignment horizontal="right"/>
    </xf>
    <xf numFmtId="165" fontId="0" fillId="43" borderId="1" xfId="0" applyNumberFormat="1" applyFill="1" applyBorder="1" applyAlignment="1">
      <alignment horizontal="right"/>
    </xf>
    <xf numFmtId="2" fontId="10" fillId="20" borderId="4" xfId="0" applyNumberFormat="1" applyFont="1" applyFill="1" applyBorder="1" applyAlignment="1">
      <alignment horizontal="center"/>
    </xf>
    <xf numFmtId="2" fontId="10" fillId="20" borderId="2" xfId="0" applyNumberFormat="1" applyFont="1" applyFill="1" applyBorder="1" applyAlignment="1">
      <alignment horizontal="center"/>
    </xf>
    <xf numFmtId="2" fontId="10" fillId="20" borderId="22" xfId="0" applyNumberFormat="1" applyFont="1" applyFill="1" applyBorder="1" applyAlignment="1">
      <alignment horizontal="center" wrapText="1"/>
    </xf>
    <xf numFmtId="2" fontId="10" fillId="20" borderId="15" xfId="0" applyNumberFormat="1" applyFont="1" applyFill="1" applyBorder="1" applyAlignment="1">
      <alignment horizontal="center" wrapText="1"/>
    </xf>
    <xf numFmtId="0" fontId="9" fillId="52" borderId="0" xfId="0" applyFont="1" applyFill="1" applyAlignment="1">
      <alignment horizontal="left" vertical="center" wrapText="1" indent="1"/>
    </xf>
    <xf numFmtId="0" fontId="0" fillId="52" borderId="0" xfId="0" applyFill="1" applyAlignment="1">
      <alignment horizontal="left" vertical="center" wrapText="1" indent="1"/>
    </xf>
    <xf numFmtId="0" fontId="0" fillId="52" borderId="7" xfId="0" applyFill="1" applyBorder="1" applyAlignment="1">
      <alignment horizontal="left" vertical="center" wrapText="1" indent="1"/>
    </xf>
    <xf numFmtId="2" fontId="10" fillId="73" borderId="12" xfId="0" applyNumberFormat="1" applyFont="1" applyFill="1" applyBorder="1" applyAlignment="1">
      <alignment horizontal="right"/>
    </xf>
    <xf numFmtId="2" fontId="10" fillId="73" borderId="14" xfId="0" applyNumberFormat="1" applyFont="1" applyFill="1" applyBorder="1" applyAlignment="1">
      <alignment horizontal="right"/>
    </xf>
    <xf numFmtId="2" fontId="10" fillId="73" borderId="13" xfId="0" applyNumberFormat="1" applyFont="1" applyFill="1" applyBorder="1" applyAlignment="1">
      <alignment horizontal="right"/>
    </xf>
    <xf numFmtId="2" fontId="9" fillId="24" borderId="0" xfId="0" applyNumberFormat="1" applyFont="1" applyFill="1" applyAlignment="1">
      <alignment horizontal="left" vertical="center" wrapText="1" indent="1"/>
    </xf>
    <xf numFmtId="9" fontId="37" fillId="23" borderId="1" xfId="2" applyFont="1" applyFill="1" applyBorder="1" applyAlignment="1" applyProtection="1">
      <alignment horizontal="left"/>
      <protection locked="0"/>
    </xf>
    <xf numFmtId="0" fontId="14" fillId="44" borderId="11" xfId="1" applyFill="1" applyBorder="1" applyAlignment="1" applyProtection="1">
      <alignment horizontal="left"/>
    </xf>
    <xf numFmtId="2" fontId="10" fillId="24" borderId="0" xfId="0" applyNumberFormat="1" applyFont="1" applyFill="1" applyAlignment="1">
      <alignment horizontal="right" indent="1"/>
    </xf>
    <xf numFmtId="2" fontId="10" fillId="24" borderId="7" xfId="0" applyNumberFormat="1" applyFont="1" applyFill="1" applyBorder="1" applyAlignment="1">
      <alignment horizontal="right" indent="1"/>
    </xf>
    <xf numFmtId="172" fontId="9" fillId="43" borderId="12" xfId="3" applyNumberFormat="1" applyFont="1" applyFill="1" applyBorder="1" applyAlignment="1" applyProtection="1">
      <alignment horizontal="left" vertical="center" wrapText="1"/>
    </xf>
    <xf numFmtId="172" fontId="9" fillId="43" borderId="14" xfId="3" applyNumberFormat="1" applyFont="1" applyFill="1" applyBorder="1" applyAlignment="1" applyProtection="1">
      <alignment horizontal="left" vertical="center" wrapText="1"/>
    </xf>
    <xf numFmtId="172" fontId="9" fillId="43" borderId="13" xfId="3" applyNumberFormat="1" applyFont="1" applyFill="1" applyBorder="1" applyAlignment="1" applyProtection="1">
      <alignment horizontal="left" vertical="center" wrapText="1"/>
    </xf>
    <xf numFmtId="0" fontId="10" fillId="6" borderId="12" xfId="0" applyFont="1" applyFill="1" applyBorder="1" applyAlignment="1" applyProtection="1">
      <alignment horizontal="center" vertical="center"/>
      <protection locked="0"/>
    </xf>
    <xf numFmtId="0" fontId="10" fillId="6" borderId="13" xfId="0" applyFont="1" applyFill="1" applyBorder="1" applyAlignment="1" applyProtection="1">
      <alignment horizontal="center" vertical="center"/>
      <protection locked="0"/>
    </xf>
    <xf numFmtId="165" fontId="10" fillId="43" borderId="1" xfId="0" applyNumberFormat="1" applyFont="1" applyFill="1" applyBorder="1" applyAlignment="1">
      <alignment horizontal="center" vertical="center"/>
    </xf>
    <xf numFmtId="165" fontId="0" fillId="43" borderId="1" xfId="0" applyNumberFormat="1" applyFill="1" applyBorder="1" applyAlignment="1">
      <alignment horizontal="center" vertical="center"/>
    </xf>
    <xf numFmtId="2" fontId="10" fillId="24" borderId="0" xfId="0" applyNumberFormat="1" applyFont="1" applyFill="1" applyAlignment="1">
      <alignment horizontal="center" vertical="center"/>
    </xf>
    <xf numFmtId="2" fontId="37" fillId="23" borderId="14" xfId="0" applyNumberFormat="1" applyFont="1" applyFill="1" applyBorder="1" applyAlignment="1" applyProtection="1">
      <alignment horizontal="left"/>
      <protection locked="0"/>
    </xf>
    <xf numFmtId="2" fontId="37" fillId="23" borderId="13" xfId="0" applyNumberFormat="1" applyFont="1" applyFill="1" applyBorder="1" applyAlignment="1" applyProtection="1">
      <alignment horizontal="left"/>
      <protection locked="0"/>
    </xf>
    <xf numFmtId="2" fontId="10" fillId="24" borderId="10" xfId="0" applyNumberFormat="1" applyFont="1" applyFill="1" applyBorder="1" applyAlignment="1">
      <alignment horizontal="center" vertical="center"/>
    </xf>
    <xf numFmtId="2" fontId="10" fillId="24" borderId="0" xfId="0" applyNumberFormat="1" applyFont="1" applyFill="1" applyAlignment="1">
      <alignment horizontal="center"/>
    </xf>
    <xf numFmtId="2" fontId="37" fillId="23" borderId="15" xfId="0" applyNumberFormat="1" applyFont="1" applyFill="1" applyBorder="1" applyAlignment="1" applyProtection="1">
      <alignment horizontal="left"/>
      <protection locked="0"/>
    </xf>
    <xf numFmtId="2" fontId="10" fillId="20" borderId="14" xfId="0" applyNumberFormat="1" applyFont="1" applyFill="1" applyBorder="1" applyAlignment="1">
      <alignment horizontal="center"/>
    </xf>
    <xf numFmtId="2" fontId="9" fillId="43" borderId="14" xfId="0" applyNumberFormat="1" applyFont="1" applyFill="1" applyBorder="1" applyAlignment="1">
      <alignment horizontal="left" vertical="center" wrapText="1"/>
    </xf>
    <xf numFmtId="2" fontId="9" fillId="43" borderId="13" xfId="0" applyNumberFormat="1" applyFont="1" applyFill="1" applyBorder="1" applyAlignment="1">
      <alignment horizontal="left" vertical="center" wrapText="1"/>
    </xf>
    <xf numFmtId="2" fontId="37" fillId="23" borderId="12" xfId="0" applyNumberFormat="1" applyFont="1" applyFill="1" applyBorder="1" applyAlignment="1" applyProtection="1">
      <alignment horizontal="center" vertical="center"/>
      <protection locked="0"/>
    </xf>
    <xf numFmtId="2" fontId="37" fillId="23" borderId="13" xfId="0" applyNumberFormat="1" applyFont="1" applyFill="1" applyBorder="1" applyAlignment="1" applyProtection="1">
      <alignment horizontal="center" vertical="center"/>
      <protection locked="0"/>
    </xf>
    <xf numFmtId="2" fontId="10" fillId="20" borderId="12" xfId="0" applyNumberFormat="1" applyFont="1" applyFill="1" applyBorder="1" applyAlignment="1">
      <alignment horizontal="center" wrapText="1"/>
    </xf>
    <xf numFmtId="2" fontId="10" fillId="20" borderId="14" xfId="0" applyNumberFormat="1" applyFont="1" applyFill="1" applyBorder="1" applyAlignment="1">
      <alignment horizontal="center" wrapText="1"/>
    </xf>
    <xf numFmtId="2" fontId="10" fillId="20" borderId="13" xfId="0" applyNumberFormat="1" applyFont="1" applyFill="1" applyBorder="1" applyAlignment="1">
      <alignment horizontal="center" wrapText="1"/>
    </xf>
    <xf numFmtId="166" fontId="10" fillId="20" borderId="12" xfId="0" applyNumberFormat="1" applyFont="1" applyFill="1" applyBorder="1" applyAlignment="1">
      <alignment horizontal="center" wrapText="1"/>
    </xf>
    <xf numFmtId="166" fontId="10" fillId="20" borderId="14" xfId="0" applyNumberFormat="1" applyFont="1" applyFill="1" applyBorder="1" applyAlignment="1">
      <alignment horizontal="center" wrapText="1"/>
    </xf>
    <xf numFmtId="166" fontId="10" fillId="20" borderId="13" xfId="0" applyNumberFormat="1" applyFont="1" applyFill="1" applyBorder="1" applyAlignment="1">
      <alignment horizontal="center" wrapText="1"/>
    </xf>
    <xf numFmtId="2" fontId="41" fillId="34" borderId="14" xfId="0" applyNumberFormat="1" applyFont="1" applyFill="1" applyBorder="1" applyAlignment="1">
      <alignment horizontal="left" vertical="center"/>
    </xf>
    <xf numFmtId="2" fontId="37" fillId="23" borderId="12" xfId="0" applyNumberFormat="1" applyFont="1" applyFill="1" applyBorder="1" applyAlignment="1" applyProtection="1">
      <alignment horizontal="center" vertical="center" wrapText="1"/>
      <protection locked="0"/>
    </xf>
    <xf numFmtId="2" fontId="37" fillId="23" borderId="14" xfId="0" applyNumberFormat="1" applyFont="1" applyFill="1" applyBorder="1" applyAlignment="1" applyProtection="1">
      <alignment horizontal="center" vertical="center" wrapText="1"/>
      <protection locked="0"/>
    </xf>
    <xf numFmtId="2" fontId="37" fillId="23" borderId="13" xfId="0" applyNumberFormat="1" applyFont="1" applyFill="1" applyBorder="1" applyAlignment="1" applyProtection="1">
      <alignment horizontal="center" vertical="center" wrapText="1"/>
      <protection locked="0"/>
    </xf>
    <xf numFmtId="0" fontId="93" fillId="52" borderId="1" xfId="0" applyFont="1" applyFill="1" applyBorder="1" applyAlignment="1">
      <alignment horizontal="center"/>
    </xf>
    <xf numFmtId="0" fontId="32" fillId="0" borderId="19" xfId="0" applyFont="1" applyBorder="1" applyAlignment="1">
      <alignment horizontal="center" vertical="center" wrapText="1"/>
    </xf>
    <xf numFmtId="0" fontId="32" fillId="0" borderId="21"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8" xfId="0" applyFont="1" applyBorder="1" applyAlignment="1">
      <alignment horizontal="center" vertical="center" wrapText="1"/>
    </xf>
    <xf numFmtId="0" fontId="32" fillId="0" borderId="16" xfId="0" applyFont="1" applyBorder="1" applyAlignment="1">
      <alignment horizontal="center" vertical="center" wrapText="1"/>
    </xf>
    <xf numFmtId="0" fontId="32" fillId="0" borderId="28" xfId="0" applyFont="1" applyBorder="1" applyAlignment="1">
      <alignment horizontal="center" vertical="center" wrapText="1"/>
    </xf>
    <xf numFmtId="0" fontId="32" fillId="0" borderId="18"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9" xfId="0" applyFont="1" applyBorder="1" applyAlignment="1">
      <alignment horizontal="center" vertical="center" wrapText="1"/>
    </xf>
    <xf numFmtId="0" fontId="32" fillId="0" borderId="24" xfId="0" applyFont="1" applyBorder="1" applyAlignment="1">
      <alignment horizontal="center" vertical="center" wrapText="1"/>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9" xfId="0" applyFont="1" applyBorder="1" applyAlignment="1">
      <alignment horizontal="left" vertical="center"/>
    </xf>
    <xf numFmtId="0" fontId="28" fillId="0" borderId="19" xfId="0" applyFont="1" applyBorder="1" applyAlignment="1">
      <alignment horizontal="left" vertical="center"/>
    </xf>
    <xf numFmtId="0" fontId="28" fillId="0" borderId="0" xfId="0" applyFont="1" applyAlignment="1">
      <alignment horizontal="left" vertical="center"/>
    </xf>
    <xf numFmtId="0" fontId="28" fillId="0" borderId="9" xfId="0" applyFont="1" applyBorder="1" applyAlignment="1">
      <alignment horizontal="left" vertical="center"/>
    </xf>
    <xf numFmtId="0" fontId="32" fillId="0" borderId="0" xfId="0" applyFont="1" applyAlignment="1">
      <alignment horizontal="left" vertical="center" wrapText="1"/>
    </xf>
    <xf numFmtId="0" fontId="27" fillId="0" borderId="0" xfId="0" applyFont="1" applyAlignment="1">
      <alignment horizontal="left" vertical="center" wrapText="1"/>
    </xf>
    <xf numFmtId="0" fontId="28" fillId="0" borderId="19" xfId="0" applyFont="1" applyBorder="1" applyAlignment="1">
      <alignment vertical="center" wrapText="1"/>
    </xf>
    <xf numFmtId="0" fontId="28" fillId="0" borderId="0" xfId="0" applyFont="1" applyAlignment="1">
      <alignment vertical="center" wrapText="1"/>
    </xf>
    <xf numFmtId="0" fontId="28" fillId="0" borderId="9" xfId="0" applyFont="1" applyBorder="1" applyAlignment="1">
      <alignment vertical="center" wrapText="1"/>
    </xf>
    <xf numFmtId="0" fontId="32" fillId="0" borderId="0" xfId="0" applyFont="1" applyAlignment="1">
      <alignment horizontal="left" vertical="center"/>
    </xf>
    <xf numFmtId="0" fontId="32" fillId="0" borderId="9" xfId="0" applyFont="1" applyBorder="1" applyAlignment="1">
      <alignment horizontal="left" vertical="center"/>
    </xf>
    <xf numFmtId="0" fontId="32" fillId="0" borderId="0" xfId="0" applyFont="1" applyAlignment="1">
      <alignment horizontal="left" vertical="top" wrapText="1"/>
    </xf>
    <xf numFmtId="0" fontId="32" fillId="0" borderId="9" xfId="0" applyFont="1" applyBorder="1" applyAlignment="1">
      <alignment horizontal="left" vertical="top" wrapText="1"/>
    </xf>
    <xf numFmtId="0" fontId="32" fillId="0" borderId="9" xfId="0" applyFont="1" applyBorder="1" applyAlignment="1">
      <alignment horizontal="left" vertical="center" wrapText="1"/>
    </xf>
    <xf numFmtId="0" fontId="32" fillId="0" borderId="20" xfId="0" applyFont="1" applyBorder="1" applyAlignment="1">
      <alignment horizontal="left" vertical="center" wrapText="1"/>
    </xf>
    <xf numFmtId="0" fontId="32" fillId="0" borderId="8" xfId="0" applyFont="1" applyBorder="1" applyAlignment="1">
      <alignment horizontal="left" vertical="center" wrapText="1"/>
    </xf>
  </cellXfs>
  <cellStyles count="14">
    <cellStyle name="Comma" xfId="3" builtinId="3"/>
    <cellStyle name="Currency" xfId="9" builtinId="4"/>
    <cellStyle name="Hyperlink" xfId="1" builtinId="8"/>
    <cellStyle name="Hyperlink 2" xfId="8" xr:uid="{00000000-0005-0000-0000-000003000000}"/>
    <cellStyle name="Hyperlink 2 2" xfId="7" xr:uid="{00000000-0005-0000-0000-000004000000}"/>
    <cellStyle name="Hyperlink 3" xfId="13" xr:uid="{00000000-0005-0000-0000-000005000000}"/>
    <cellStyle name="Hyperlink 4" xfId="6" xr:uid="{00000000-0005-0000-0000-000006000000}"/>
    <cellStyle name="Normal" xfId="0" builtinId="0"/>
    <cellStyle name="Normal 2" xfId="4" xr:uid="{00000000-0005-0000-0000-000008000000}"/>
    <cellStyle name="Normal 3" xfId="5" xr:uid="{00000000-0005-0000-0000-000009000000}"/>
    <cellStyle name="Normal 4" xfId="10" xr:uid="{00000000-0005-0000-0000-00000A000000}"/>
    <cellStyle name="Normal 5" xfId="12" xr:uid="{00000000-0005-0000-0000-00000B000000}"/>
    <cellStyle name="Percent" xfId="2" builtinId="5"/>
    <cellStyle name="Percent 2" xfId="11" xr:uid="{00000000-0005-0000-0000-00000D000000}"/>
  </cellStyles>
  <dxfs count="51">
    <dxf>
      <font>
        <b/>
        <i val="0"/>
        <color auto="1"/>
      </font>
      <fill>
        <patternFill>
          <bgColor rgb="FFFFFF00"/>
        </patternFill>
      </fill>
    </dxf>
    <dxf>
      <font>
        <b/>
        <i val="0"/>
        <color auto="1"/>
      </font>
      <fill>
        <patternFill>
          <bgColor rgb="FFFFFF00"/>
        </patternFill>
      </fill>
    </dxf>
    <dxf>
      <font>
        <b/>
        <i val="0"/>
        <color auto="1"/>
      </font>
      <fill>
        <patternFill>
          <bgColor rgb="FFFFFF00"/>
        </patternFill>
      </fill>
    </dxf>
    <dxf>
      <font>
        <b/>
        <i val="0"/>
        <color auto="1"/>
      </font>
      <fill>
        <patternFill>
          <bgColor rgb="FFFFFF00"/>
        </patternFill>
      </fill>
    </dxf>
    <dxf>
      <font>
        <b/>
        <i val="0"/>
        <color auto="1"/>
      </font>
      <fill>
        <patternFill>
          <bgColor rgb="FFFFFF00"/>
        </patternFill>
      </fill>
    </dxf>
    <dxf>
      <font>
        <b/>
        <i val="0"/>
        <color auto="1"/>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font>
      <fill>
        <patternFill>
          <bgColor rgb="FFFFFF00"/>
        </patternFill>
      </fill>
    </dxf>
    <dxf>
      <font>
        <b/>
        <i val="0"/>
      </font>
      <fill>
        <patternFill>
          <bgColor rgb="FFFFFF00"/>
        </patternFill>
      </fill>
    </dxf>
    <dxf>
      <font>
        <color rgb="FF9C0006"/>
      </font>
      <fill>
        <patternFill>
          <bgColor rgb="FFFFC7CE"/>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val="0"/>
        <i val="0"/>
        <condense val="0"/>
        <extend val="0"/>
        <color indexed="9"/>
      </font>
    </dxf>
    <dxf>
      <font>
        <b val="0"/>
        <i val="0"/>
        <condense val="0"/>
        <extend val="0"/>
        <color indexed="9"/>
      </font>
    </dxf>
    <dxf>
      <fill>
        <patternFill>
          <bgColor rgb="FF00B050"/>
        </patternFill>
      </fill>
    </dxf>
    <dxf>
      <font>
        <color rgb="FF006100"/>
      </font>
      <fill>
        <patternFill>
          <bgColor rgb="FFC6EFCE"/>
        </patternFill>
      </fill>
    </dxf>
    <dxf>
      <font>
        <color rgb="FF9C0006"/>
      </font>
      <fill>
        <patternFill>
          <bgColor rgb="FFFFC7CE"/>
        </patternFill>
      </fill>
    </dxf>
    <dxf>
      <font>
        <b val="0"/>
        <i val="0"/>
        <condense val="0"/>
        <extend val="0"/>
        <color indexed="9"/>
      </font>
    </dxf>
    <dxf>
      <font>
        <b val="0"/>
        <i val="0"/>
        <condense val="0"/>
        <extend val="0"/>
        <color indexed="9"/>
      </font>
    </dxf>
    <dxf>
      <font>
        <b val="0"/>
        <i val="0"/>
        <condense val="0"/>
        <extend val="0"/>
        <color indexed="9"/>
      </font>
    </dxf>
    <dxf>
      <font>
        <b val="0"/>
        <i val="0"/>
        <condense val="0"/>
        <extend val="0"/>
        <color indexed="9"/>
      </font>
    </dxf>
    <dxf>
      <font>
        <b val="0"/>
        <i val="0"/>
        <condense val="0"/>
        <extend val="0"/>
        <color indexed="9"/>
      </font>
    </dxf>
    <dxf>
      <font>
        <b val="0"/>
        <i val="0"/>
        <condense val="0"/>
        <extend val="0"/>
        <color indexed="9"/>
      </font>
    </dxf>
    <dxf>
      <font>
        <b val="0"/>
        <i val="0"/>
        <condense val="0"/>
        <extend val="0"/>
        <color indexed="9"/>
      </font>
    </dxf>
    <dxf>
      <font>
        <b val="0"/>
        <i val="0"/>
        <condense val="0"/>
        <extend val="0"/>
        <color indexed="9"/>
      </font>
    </dxf>
    <dxf>
      <font>
        <b val="0"/>
        <i val="0"/>
        <condense val="0"/>
        <extend val="0"/>
        <color indexed="9"/>
      </font>
    </dxf>
  </dxfs>
  <tableStyles count="0" defaultTableStyle="TableStyleMedium9" defaultPivotStyle="PivotStyleLight16"/>
  <colors>
    <mruColors>
      <color rgb="FFFFFFCC"/>
      <color rgb="FFF6F5F0"/>
      <color rgb="FF90B6E4"/>
      <color rgb="FFA8C6EA"/>
      <color rgb="FF9BB7D9"/>
      <color rgb="FFABC3DF"/>
      <color rgb="FFB1C7E1"/>
      <color rgb="FF9EB9DA"/>
      <color rgb="FF90AFD4"/>
      <color rgb="FFCCDA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file>

<file path=xl/ctrlProps/ctrlProp6.xml><?xml version="1.0" encoding="utf-8"?>
<formControlPr xmlns="http://schemas.microsoft.com/office/spreadsheetml/2009/9/main" objectType="Button"/>
</file>

<file path=xl/ctrlProps/ctrlProp7.xml><?xml version="1.0" encoding="utf-8"?>
<formControlPr xmlns="http://schemas.microsoft.com/office/spreadsheetml/2009/9/main" objectType="Button"/>
</file>

<file path=xl/ctrlProps/ctrlProp8.xml><?xml version="1.0" encoding="utf-8"?>
<formControlPr xmlns="http://schemas.microsoft.com/office/spreadsheetml/2009/9/main" objectType="Button"/>
</file>

<file path=xl/ctrlProps/ctrlProp9.xml><?xml version="1.0" encoding="utf-8"?>
<formControlPr xmlns="http://schemas.microsoft.com/office/spreadsheetml/2009/9/main" objectType="Button"/>
</file>

<file path=xl/ctrlProps/ctrlProp10.xml><?xml version="1.0" encoding="utf-8"?>
<formControlPr xmlns="http://schemas.microsoft.com/office/spreadsheetml/2009/9/main" objectType="Button"/>
</file>

<file path=xl/ctrlProps/ctrlProp11.xml><?xml version="1.0" encoding="utf-8"?>
<formControlPr xmlns="http://schemas.microsoft.com/office/spreadsheetml/2009/9/main" objectType="Button"/>
</file>

<file path=xl/ctrlProps/ctrlProp12.xml><?xml version="1.0" encoding="utf-8"?>
<formControlPr xmlns="http://schemas.microsoft.com/office/spreadsheetml/2009/9/main" objectType="Button"/>
</file>

<file path=xl/ctrlProps/ctrlProp13.xml><?xml version="1.0" encoding="utf-8"?>
<formControlPr xmlns="http://schemas.microsoft.com/office/spreadsheetml/2009/9/main" objectType="Button"/>
</file>

<file path=xl/ctrlProps/ctrlProp14.xml><?xml version="1.0" encoding="utf-8"?>
<formControlPr xmlns="http://schemas.microsoft.com/office/spreadsheetml/2009/9/main" objectType="Button"/>
</file>

<file path=xl/ctrlProps/ctrlProp15.xml><?xml version="1.0" encoding="utf-8"?>
<formControlPr xmlns="http://schemas.microsoft.com/office/spreadsheetml/2009/9/main" objectType="Button"/>
</file>

<file path=xl/ctrlProps/ctrlProp16.xml><?xml version="1.0" encoding="utf-8"?>
<formControlPr xmlns="http://schemas.microsoft.com/office/spreadsheetml/2009/9/main" objectType="Button"/>
</file>

<file path=xl/ctrlProps/ctrlProp17.xml><?xml version="1.0" encoding="utf-8"?>
<formControlPr xmlns="http://schemas.microsoft.com/office/spreadsheetml/2009/9/main" objectType="Button"/>
</file>

<file path=xl/ctrlProps/ctrlProp18.xml><?xml version="1.0" encoding="utf-8"?>
<formControlPr xmlns="http://schemas.microsoft.com/office/spreadsheetml/2009/9/main" objectType="Button"/>
</file>

<file path=xl/ctrlProps/ctrlProp19.xml><?xml version="1.0" encoding="utf-8"?>
<formControlPr xmlns="http://schemas.microsoft.com/office/spreadsheetml/2009/9/main" objectType="Button"/>
</file>

<file path=xl/ctrlProps/ctrlProp20.xml><?xml version="1.0" encoding="utf-8"?>
<formControlPr xmlns="http://schemas.microsoft.com/office/spreadsheetml/2009/9/main" objectType="Button"/>
</file>

<file path=xl/ctrlProps/ctrlProp21.xml><?xml version="1.0" encoding="utf-8"?>
<formControlPr xmlns="http://schemas.microsoft.com/office/spreadsheetml/2009/9/main" objectType="Button"/>
</file>

<file path=xl/ctrlProps/ctrlProp22.xml><?xml version="1.0" encoding="utf-8"?>
<formControlPr xmlns="http://schemas.microsoft.com/office/spreadsheetml/2009/9/main" objectType="Button"/>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6.png"/><Relationship Id="rId18" Type="http://schemas.openxmlformats.org/officeDocument/2006/relationships/image" Target="../media/image20.png"/><Relationship Id="rId26" Type="http://schemas.openxmlformats.org/officeDocument/2006/relationships/image" Target="../media/image28.png"/><Relationship Id="rId3" Type="http://schemas.openxmlformats.org/officeDocument/2006/relationships/image" Target="../media/image6.png"/><Relationship Id="rId21" Type="http://schemas.openxmlformats.org/officeDocument/2006/relationships/image" Target="../media/image23.png"/><Relationship Id="rId7" Type="http://schemas.openxmlformats.org/officeDocument/2006/relationships/image" Target="../media/image10.png"/><Relationship Id="rId12" Type="http://schemas.openxmlformats.org/officeDocument/2006/relationships/image" Target="../media/image15.png"/><Relationship Id="rId17" Type="http://schemas.openxmlformats.org/officeDocument/2006/relationships/image" Target="../media/image2.png"/><Relationship Id="rId25" Type="http://schemas.openxmlformats.org/officeDocument/2006/relationships/image" Target="../media/image27.png"/><Relationship Id="rId2" Type="http://schemas.openxmlformats.org/officeDocument/2006/relationships/image" Target="../media/image5.png"/><Relationship Id="rId16" Type="http://schemas.openxmlformats.org/officeDocument/2006/relationships/image" Target="../media/image19.png"/><Relationship Id="rId20" Type="http://schemas.openxmlformats.org/officeDocument/2006/relationships/image" Target="../media/image22.png"/><Relationship Id="rId29" Type="http://schemas.openxmlformats.org/officeDocument/2006/relationships/image" Target="../media/image3.png"/><Relationship Id="rId1" Type="http://schemas.openxmlformats.org/officeDocument/2006/relationships/image" Target="../media/image1.png"/><Relationship Id="rId6" Type="http://schemas.openxmlformats.org/officeDocument/2006/relationships/image" Target="../media/image9.png"/><Relationship Id="rId11" Type="http://schemas.openxmlformats.org/officeDocument/2006/relationships/image" Target="../media/image14.png"/><Relationship Id="rId24" Type="http://schemas.openxmlformats.org/officeDocument/2006/relationships/image" Target="../media/image26.png"/><Relationship Id="rId32" Type="http://schemas.openxmlformats.org/officeDocument/2006/relationships/image" Target="../media/image32.png"/><Relationship Id="rId5" Type="http://schemas.openxmlformats.org/officeDocument/2006/relationships/image" Target="../media/image8.png"/><Relationship Id="rId15" Type="http://schemas.openxmlformats.org/officeDocument/2006/relationships/image" Target="../media/image18.png"/><Relationship Id="rId23" Type="http://schemas.openxmlformats.org/officeDocument/2006/relationships/image" Target="../media/image25.png"/><Relationship Id="rId28" Type="http://schemas.openxmlformats.org/officeDocument/2006/relationships/image" Target="../media/image30.png"/><Relationship Id="rId10" Type="http://schemas.openxmlformats.org/officeDocument/2006/relationships/image" Target="../media/image13.png"/><Relationship Id="rId19" Type="http://schemas.openxmlformats.org/officeDocument/2006/relationships/image" Target="../media/image21.png"/><Relationship Id="rId31" Type="http://schemas.openxmlformats.org/officeDocument/2006/relationships/image" Target="../media/image31.png"/><Relationship Id="rId4" Type="http://schemas.openxmlformats.org/officeDocument/2006/relationships/image" Target="../media/image7.png"/><Relationship Id="rId9" Type="http://schemas.openxmlformats.org/officeDocument/2006/relationships/image" Target="../media/image12.png"/><Relationship Id="rId14" Type="http://schemas.openxmlformats.org/officeDocument/2006/relationships/image" Target="../media/image17.png"/><Relationship Id="rId22" Type="http://schemas.openxmlformats.org/officeDocument/2006/relationships/image" Target="../media/image24.png"/><Relationship Id="rId27" Type="http://schemas.openxmlformats.org/officeDocument/2006/relationships/image" Target="../media/image29.png"/><Relationship Id="rId30"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image" Target="../media/image4.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4.png"/></Relationships>
</file>

<file path=xl/drawings/_rels/drawing12.xml.rels><?xml version="1.0" encoding="UTF-8" standalone="yes"?>
<Relationships xmlns="http://schemas.openxmlformats.org/package/2006/relationships"><Relationship Id="rId2" Type="http://schemas.openxmlformats.org/officeDocument/2006/relationships/image" Target="../media/image36.png"/><Relationship Id="rId1" Type="http://schemas.openxmlformats.org/officeDocument/2006/relationships/image" Target="../media/image35.png"/></Relationships>
</file>

<file path=xl/drawings/_rels/drawing13.xml.rels><?xml version="1.0" encoding="UTF-8" standalone="yes"?>
<Relationships xmlns="http://schemas.openxmlformats.org/package/2006/relationships"><Relationship Id="rId2" Type="http://schemas.openxmlformats.org/officeDocument/2006/relationships/image" Target="../media/image38.png"/><Relationship Id="rId1" Type="http://schemas.openxmlformats.org/officeDocument/2006/relationships/image" Target="../media/image37.png"/></Relationships>
</file>

<file path=xl/drawings/drawing1.xml><?xml version="1.0" encoding="utf-8"?>
<xdr:wsDr xmlns:xdr="http://schemas.openxmlformats.org/drawingml/2006/spreadsheetDrawing" xmlns:a="http://schemas.openxmlformats.org/drawingml/2006/main">
  <xdr:twoCellAnchor editAs="oneCell">
    <xdr:from>
      <xdr:col>8</xdr:col>
      <xdr:colOff>114300</xdr:colOff>
      <xdr:row>3</xdr:row>
      <xdr:rowOff>419100</xdr:rowOff>
    </xdr:from>
    <xdr:to>
      <xdr:col>10</xdr:col>
      <xdr:colOff>540701</xdr:colOff>
      <xdr:row>17</xdr:row>
      <xdr:rowOff>133350</xdr:rowOff>
    </xdr:to>
    <xdr:pic>
      <xdr:nvPicPr>
        <xdr:cNvPr id="3" name="Picture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77150" y="1257300"/>
          <a:ext cx="2655251" cy="4772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152400</xdr:colOff>
      <xdr:row>20</xdr:row>
      <xdr:rowOff>114300</xdr:rowOff>
    </xdr:from>
    <xdr:to>
      <xdr:col>10</xdr:col>
      <xdr:colOff>554201</xdr:colOff>
      <xdr:row>25</xdr:row>
      <xdr:rowOff>19050</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15250" y="5991225"/>
          <a:ext cx="2630651" cy="1314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1</xdr:col>
          <xdr:colOff>85725</xdr:colOff>
          <xdr:row>5</xdr:row>
          <xdr:rowOff>304800</xdr:rowOff>
        </xdr:from>
        <xdr:to>
          <xdr:col>6</xdr:col>
          <xdr:colOff>1695450</xdr:colOff>
          <xdr:row>5</xdr:row>
          <xdr:rowOff>771525</xdr:rowOff>
        </xdr:to>
        <xdr:sp macro="" textlink="">
          <xdr:nvSpPr>
            <xdr:cNvPr id="3073" name="ProtectToggle"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ea typeface="Calibri"/>
                  <a:cs typeface="Calibri"/>
                </a:rPr>
                <a:t>Click to Accept Terms of Use &amp; Open Tool</a:t>
              </a:r>
            </a:p>
          </xdr:txBody>
        </xdr:sp>
        <xdr:clientData fLocksWithSheet="0" fPrintsWithSheet="0"/>
      </xdr:twoCellAnchor>
    </mc:Choice>
    <mc:Fallback/>
  </mc:AlternateContent>
  <xdr:twoCellAnchor editAs="oneCell">
    <xdr:from>
      <xdr:col>2</xdr:col>
      <xdr:colOff>38100</xdr:colOff>
      <xdr:row>38</xdr:row>
      <xdr:rowOff>19050</xdr:rowOff>
    </xdr:from>
    <xdr:to>
      <xdr:col>6</xdr:col>
      <xdr:colOff>1771650</xdr:colOff>
      <xdr:row>39</xdr:row>
      <xdr:rowOff>1879514</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3900" y="10125075"/>
          <a:ext cx="5676900" cy="2050964"/>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57150</xdr:colOff>
      <xdr:row>39</xdr:row>
      <xdr:rowOff>2019300</xdr:rowOff>
    </xdr:from>
    <xdr:to>
      <xdr:col>6</xdr:col>
      <xdr:colOff>28575</xdr:colOff>
      <xdr:row>58</xdr:row>
      <xdr:rowOff>101923</xdr:rowOff>
    </xdr:to>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42950" y="12315825"/>
          <a:ext cx="3914775" cy="5054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381000</xdr:colOff>
          <xdr:row>5</xdr:row>
          <xdr:rowOff>114300</xdr:rowOff>
        </xdr:from>
        <xdr:to>
          <xdr:col>8</xdr:col>
          <xdr:colOff>638175</xdr:colOff>
          <xdr:row>8</xdr:row>
          <xdr:rowOff>38100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0100-0000015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ea typeface="Calibri"/>
                  <a:cs typeface="Calibri"/>
                </a:rPr>
                <a:t>Click to Begin Entering Your Project Details</a:t>
              </a:r>
            </a:p>
          </xdr:txBody>
        </xdr:sp>
        <xdr:clientData fPrintsWithSheet="0"/>
      </xdr:twoCellAnchor>
    </mc:Choice>
    <mc:Fallback/>
  </mc:AlternateContent>
  <xdr:twoCellAnchor editAs="absolute">
    <xdr:from>
      <xdr:col>11</xdr:col>
      <xdr:colOff>790575</xdr:colOff>
      <xdr:row>3</xdr:row>
      <xdr:rowOff>57150</xdr:rowOff>
    </xdr:from>
    <xdr:to>
      <xdr:col>14</xdr:col>
      <xdr:colOff>371475</xdr:colOff>
      <xdr:row>18</xdr:row>
      <xdr:rowOff>85725</xdr:rowOff>
    </xdr:to>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39475" y="885825"/>
          <a:ext cx="2724150" cy="489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9</xdr:col>
      <xdr:colOff>488373</xdr:colOff>
      <xdr:row>11</xdr:row>
      <xdr:rowOff>249382</xdr:rowOff>
    </xdr:from>
    <xdr:to>
      <xdr:col>11</xdr:col>
      <xdr:colOff>729095</xdr:colOff>
      <xdr:row>12</xdr:row>
      <xdr:rowOff>453408</xdr:rowOff>
    </xdr:to>
    <xdr:pic>
      <xdr:nvPicPr>
        <xdr:cNvPr id="5" name="Picture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79823" y="3535507"/>
          <a:ext cx="2698172" cy="10231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266700</xdr:colOff>
      <xdr:row>87</xdr:row>
      <xdr:rowOff>76200</xdr:rowOff>
    </xdr:from>
    <xdr:to>
      <xdr:col>5</xdr:col>
      <xdr:colOff>676275</xdr:colOff>
      <xdr:row>91</xdr:row>
      <xdr:rowOff>104775</xdr:rowOff>
    </xdr:to>
    <xdr:pic>
      <xdr:nvPicPr>
        <xdr:cNvPr id="25" name="Picture 24">
          <a:extLst>
            <a:ext uri="{FF2B5EF4-FFF2-40B4-BE49-F238E27FC236}">
              <a16:creationId xmlns:a16="http://schemas.microsoft.com/office/drawing/2014/main" id="{00000000-0008-0000-0100-00001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14350" y="24174450"/>
          <a:ext cx="4657725"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238126</xdr:colOff>
      <xdr:row>112</xdr:row>
      <xdr:rowOff>38101</xdr:rowOff>
    </xdr:from>
    <xdr:to>
      <xdr:col>10</xdr:col>
      <xdr:colOff>47625</xdr:colOff>
      <xdr:row>112</xdr:row>
      <xdr:rowOff>2957876</xdr:rowOff>
    </xdr:to>
    <xdr:pic>
      <xdr:nvPicPr>
        <xdr:cNvPr id="35" name="Picture 34">
          <a:extLst>
            <a:ext uri="{FF2B5EF4-FFF2-40B4-BE49-F238E27FC236}">
              <a16:creationId xmlns:a16="http://schemas.microsoft.com/office/drawing/2014/main" id="{00000000-0008-0000-0100-000023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8126" y="32232601"/>
          <a:ext cx="9010649" cy="2919775"/>
        </a:xfrm>
        <a:prstGeom prst="rect">
          <a:avLst/>
        </a:prstGeom>
        <a:noFill/>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209550</xdr:colOff>
      <xdr:row>104</xdr:row>
      <xdr:rowOff>57150</xdr:rowOff>
    </xdr:from>
    <xdr:to>
      <xdr:col>10</xdr:col>
      <xdr:colOff>40692</xdr:colOff>
      <xdr:row>105</xdr:row>
      <xdr:rowOff>590550</xdr:rowOff>
    </xdr:to>
    <xdr:pic>
      <xdr:nvPicPr>
        <xdr:cNvPr id="39" name="Picture 38">
          <a:extLst>
            <a:ext uri="{FF2B5EF4-FFF2-40B4-BE49-F238E27FC236}">
              <a16:creationId xmlns:a16="http://schemas.microsoft.com/office/drawing/2014/main" id="{00000000-0008-0000-0100-000027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9550" y="27955875"/>
          <a:ext cx="9032292" cy="184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118</xdr:row>
      <xdr:rowOff>9525</xdr:rowOff>
    </xdr:from>
    <xdr:to>
      <xdr:col>9</xdr:col>
      <xdr:colOff>114300</xdr:colOff>
      <xdr:row>119</xdr:row>
      <xdr:rowOff>457200</xdr:rowOff>
    </xdr:to>
    <xdr:pic>
      <xdr:nvPicPr>
        <xdr:cNvPr id="43" name="Picture 42">
          <a:extLst>
            <a:ext uri="{FF2B5EF4-FFF2-40B4-BE49-F238E27FC236}">
              <a16:creationId xmlns:a16="http://schemas.microsoft.com/office/drawing/2014/main" id="{00000000-0008-0000-0100-00002B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85750" y="31480125"/>
          <a:ext cx="7620000"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1200150</xdr:colOff>
      <xdr:row>127</xdr:row>
      <xdr:rowOff>28575</xdr:rowOff>
    </xdr:from>
    <xdr:to>
      <xdr:col>9</xdr:col>
      <xdr:colOff>1047750</xdr:colOff>
      <xdr:row>127</xdr:row>
      <xdr:rowOff>1323975</xdr:rowOff>
    </xdr:to>
    <xdr:pic>
      <xdr:nvPicPr>
        <xdr:cNvPr id="54" name="Picture 53">
          <a:extLst>
            <a:ext uri="{FF2B5EF4-FFF2-40B4-BE49-F238E27FC236}">
              <a16:creationId xmlns:a16="http://schemas.microsoft.com/office/drawing/2014/main" id="{00000000-0008-0000-0100-000036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743075" y="37280850"/>
          <a:ext cx="7096125"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1162050</xdr:colOff>
      <xdr:row>129</xdr:row>
      <xdr:rowOff>85725</xdr:rowOff>
    </xdr:from>
    <xdr:to>
      <xdr:col>8</xdr:col>
      <xdr:colOff>885825</xdr:colOff>
      <xdr:row>129</xdr:row>
      <xdr:rowOff>1581150</xdr:rowOff>
    </xdr:to>
    <xdr:pic>
      <xdr:nvPicPr>
        <xdr:cNvPr id="58" name="Picture 57">
          <a:extLst>
            <a:ext uri="{FF2B5EF4-FFF2-40B4-BE49-F238E27FC236}">
              <a16:creationId xmlns:a16="http://schemas.microsoft.com/office/drawing/2014/main" id="{00000000-0008-0000-0100-00003A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704975" y="39138225"/>
          <a:ext cx="5924550"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xdr:colOff>
      <xdr:row>144</xdr:row>
      <xdr:rowOff>38100</xdr:rowOff>
    </xdr:from>
    <xdr:to>
      <xdr:col>10</xdr:col>
      <xdr:colOff>209550</xdr:colOff>
      <xdr:row>144</xdr:row>
      <xdr:rowOff>1690479</xdr:rowOff>
    </xdr:to>
    <xdr:pic>
      <xdr:nvPicPr>
        <xdr:cNvPr id="66" name="Picture 65">
          <a:extLst>
            <a:ext uri="{FF2B5EF4-FFF2-40B4-BE49-F238E27FC236}">
              <a16:creationId xmlns:a16="http://schemas.microsoft.com/office/drawing/2014/main" id="{00000000-0008-0000-0100-000042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57175" y="57330975"/>
          <a:ext cx="9153525" cy="1652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154</xdr:row>
      <xdr:rowOff>28576</xdr:rowOff>
    </xdr:from>
    <xdr:to>
      <xdr:col>10</xdr:col>
      <xdr:colOff>76200</xdr:colOff>
      <xdr:row>154</xdr:row>
      <xdr:rowOff>1797528</xdr:rowOff>
    </xdr:to>
    <xdr:pic>
      <xdr:nvPicPr>
        <xdr:cNvPr id="75" name="Picture 74">
          <a:extLst>
            <a:ext uri="{FF2B5EF4-FFF2-40B4-BE49-F238E27FC236}">
              <a16:creationId xmlns:a16="http://schemas.microsoft.com/office/drawing/2014/main" id="{00000000-0008-0000-0100-00004B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5275" y="63569851"/>
          <a:ext cx="8982075" cy="17689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xdr:colOff>
      <xdr:row>159</xdr:row>
      <xdr:rowOff>38101</xdr:rowOff>
    </xdr:from>
    <xdr:to>
      <xdr:col>10</xdr:col>
      <xdr:colOff>171450</xdr:colOff>
      <xdr:row>159</xdr:row>
      <xdr:rowOff>1718797</xdr:rowOff>
    </xdr:to>
    <xdr:pic>
      <xdr:nvPicPr>
        <xdr:cNvPr id="77" name="Picture 76">
          <a:extLst>
            <a:ext uri="{FF2B5EF4-FFF2-40B4-BE49-F238E27FC236}">
              <a16:creationId xmlns:a16="http://schemas.microsoft.com/office/drawing/2014/main" id="{00000000-0008-0000-0100-00004D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47651" y="66627376"/>
          <a:ext cx="9124949" cy="1680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180976</xdr:colOff>
      <xdr:row>169</xdr:row>
      <xdr:rowOff>47625</xdr:rowOff>
    </xdr:from>
    <xdr:to>
      <xdr:col>10</xdr:col>
      <xdr:colOff>771526</xdr:colOff>
      <xdr:row>169</xdr:row>
      <xdr:rowOff>1071027</xdr:rowOff>
    </xdr:to>
    <xdr:pic>
      <xdr:nvPicPr>
        <xdr:cNvPr id="79" name="Picture 78">
          <a:extLst>
            <a:ext uri="{FF2B5EF4-FFF2-40B4-BE49-F238E27FC236}">
              <a16:creationId xmlns:a16="http://schemas.microsoft.com/office/drawing/2014/main" id="{00000000-0008-0000-0100-00004F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80976" y="71389875"/>
          <a:ext cx="9791700" cy="10234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95250</xdr:colOff>
      <xdr:row>175</xdr:row>
      <xdr:rowOff>161925</xdr:rowOff>
    </xdr:from>
    <xdr:to>
      <xdr:col>8</xdr:col>
      <xdr:colOff>676275</xdr:colOff>
      <xdr:row>175</xdr:row>
      <xdr:rowOff>750938</xdr:rowOff>
    </xdr:to>
    <xdr:pic>
      <xdr:nvPicPr>
        <xdr:cNvPr id="85" name="Picture 84">
          <a:extLst>
            <a:ext uri="{FF2B5EF4-FFF2-40B4-BE49-F238E27FC236}">
              <a16:creationId xmlns:a16="http://schemas.microsoft.com/office/drawing/2014/main" id="{00000000-0008-0000-0100-000055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342900" y="74514075"/>
          <a:ext cx="7077075" cy="5890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28576</xdr:colOff>
      <xdr:row>178</xdr:row>
      <xdr:rowOff>19050</xdr:rowOff>
    </xdr:from>
    <xdr:to>
      <xdr:col>8</xdr:col>
      <xdr:colOff>542926</xdr:colOff>
      <xdr:row>178</xdr:row>
      <xdr:rowOff>713855</xdr:rowOff>
    </xdr:to>
    <xdr:pic>
      <xdr:nvPicPr>
        <xdr:cNvPr id="87" name="Picture 86">
          <a:extLst>
            <a:ext uri="{FF2B5EF4-FFF2-40B4-BE49-F238E27FC236}">
              <a16:creationId xmlns:a16="http://schemas.microsoft.com/office/drawing/2014/main" id="{00000000-0008-0000-0100-000057000000}"/>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76226" y="75733275"/>
          <a:ext cx="7010400" cy="694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238125</xdr:colOff>
      <xdr:row>180</xdr:row>
      <xdr:rowOff>247650</xdr:rowOff>
    </xdr:from>
    <xdr:to>
      <xdr:col>9</xdr:col>
      <xdr:colOff>1047750</xdr:colOff>
      <xdr:row>181</xdr:row>
      <xdr:rowOff>2895600</xdr:rowOff>
    </xdr:to>
    <xdr:pic>
      <xdr:nvPicPr>
        <xdr:cNvPr id="89" name="Picture 88">
          <a:extLst>
            <a:ext uri="{FF2B5EF4-FFF2-40B4-BE49-F238E27FC236}">
              <a16:creationId xmlns:a16="http://schemas.microsoft.com/office/drawing/2014/main" id="{00000000-0008-0000-0100-000059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38125" y="76971525"/>
          <a:ext cx="8601075" cy="2905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542925</xdr:colOff>
      <xdr:row>21</xdr:row>
      <xdr:rowOff>66675</xdr:rowOff>
    </xdr:from>
    <xdr:to>
      <xdr:col>11</xdr:col>
      <xdr:colOff>672812</xdr:colOff>
      <xdr:row>27</xdr:row>
      <xdr:rowOff>460664</xdr:rowOff>
    </xdr:to>
    <xdr:pic>
      <xdr:nvPicPr>
        <xdr:cNvPr id="29" name="Picture 28">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8334375" y="6372225"/>
          <a:ext cx="2587337" cy="18513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495300</xdr:colOff>
      <xdr:row>13</xdr:row>
      <xdr:rowOff>152400</xdr:rowOff>
    </xdr:from>
    <xdr:to>
      <xdr:col>11</xdr:col>
      <xdr:colOff>640773</xdr:colOff>
      <xdr:row>20</xdr:row>
      <xdr:rowOff>62345</xdr:rowOff>
    </xdr:to>
    <xdr:pic>
      <xdr:nvPicPr>
        <xdr:cNvPr id="31" name="Picture 30">
          <a:extLst>
            <a:ext uri="{FF2B5EF4-FFF2-40B4-BE49-F238E27FC236}">
              <a16:creationId xmlns:a16="http://schemas.microsoft.com/office/drawing/2014/main" id="{00000000-0008-0000-0100-00001F0000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8286750" y="4867275"/>
          <a:ext cx="2602923" cy="1300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495301</xdr:colOff>
      <xdr:row>3</xdr:row>
      <xdr:rowOff>38101</xdr:rowOff>
    </xdr:from>
    <xdr:to>
      <xdr:col>11</xdr:col>
      <xdr:colOff>607609</xdr:colOff>
      <xdr:row>11</xdr:row>
      <xdr:rowOff>123825</xdr:rowOff>
    </xdr:to>
    <xdr:pic>
      <xdr:nvPicPr>
        <xdr:cNvPr id="33" name="Picture 32">
          <a:extLst>
            <a:ext uri="{FF2B5EF4-FFF2-40B4-BE49-F238E27FC236}">
              <a16:creationId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8286751" y="866776"/>
          <a:ext cx="2569758" cy="25431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47625</xdr:colOff>
      <xdr:row>188</xdr:row>
      <xdr:rowOff>9525</xdr:rowOff>
    </xdr:from>
    <xdr:to>
      <xdr:col>3</xdr:col>
      <xdr:colOff>1028700</xdr:colOff>
      <xdr:row>189</xdr:row>
      <xdr:rowOff>4667250</xdr:rowOff>
    </xdr:to>
    <xdr:pic>
      <xdr:nvPicPr>
        <xdr:cNvPr id="37" name="Picture 36">
          <a:extLst>
            <a:ext uri="{FF2B5EF4-FFF2-40B4-BE49-F238E27FC236}">
              <a16:creationId xmlns:a16="http://schemas.microsoft.com/office/drawing/2014/main" id="{00000000-0008-0000-0100-000025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590550" y="75123675"/>
          <a:ext cx="2828925" cy="4819650"/>
        </a:xfrm>
        <a:prstGeom prst="rect">
          <a:avLst/>
        </a:prstGeom>
        <a:noFill/>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190500</xdr:colOff>
      <xdr:row>188</xdr:row>
      <xdr:rowOff>38100</xdr:rowOff>
    </xdr:from>
    <xdr:to>
      <xdr:col>9</xdr:col>
      <xdr:colOff>628650</xdr:colOff>
      <xdr:row>189</xdr:row>
      <xdr:rowOff>2952750</xdr:rowOff>
    </xdr:to>
    <xdr:pic>
      <xdr:nvPicPr>
        <xdr:cNvPr id="40" name="Picture 39">
          <a:extLst>
            <a:ext uri="{FF2B5EF4-FFF2-40B4-BE49-F238E27FC236}">
              <a16:creationId xmlns:a16="http://schemas.microsoft.com/office/drawing/2014/main" id="{00000000-0008-0000-0100-000028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3638550" y="75152250"/>
          <a:ext cx="4781550" cy="3076575"/>
        </a:xfrm>
        <a:prstGeom prst="rect">
          <a:avLst/>
        </a:prstGeom>
        <a:noFill/>
        <a:ln>
          <a:solidFill>
            <a:schemeClr val="accent1"/>
          </a:solidFill>
        </a:ln>
        <a:effectLst>
          <a:outerShdw blurRad="50800" dist="38100" dir="2700000" algn="tl" rotWithShape="0">
            <a:prstClr val="black">
              <a:alpha val="40000"/>
            </a:prst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9526</xdr:colOff>
      <xdr:row>122</xdr:row>
      <xdr:rowOff>704851</xdr:rowOff>
    </xdr:from>
    <xdr:to>
      <xdr:col>10</xdr:col>
      <xdr:colOff>238125</xdr:colOff>
      <xdr:row>124</xdr:row>
      <xdr:rowOff>2096251</xdr:rowOff>
    </xdr:to>
    <xdr:pic>
      <xdr:nvPicPr>
        <xdr:cNvPr id="38" name="Picture 37">
          <a:extLst>
            <a:ext uri="{FF2B5EF4-FFF2-40B4-BE49-F238E27FC236}">
              <a16:creationId xmlns:a16="http://schemas.microsoft.com/office/drawing/2014/main" id="{00000000-0008-0000-0100-0000260000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57176" y="38957251"/>
          <a:ext cx="9182099" cy="245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238126</xdr:colOff>
      <xdr:row>132</xdr:row>
      <xdr:rowOff>38101</xdr:rowOff>
    </xdr:from>
    <xdr:to>
      <xdr:col>10</xdr:col>
      <xdr:colOff>219075</xdr:colOff>
      <xdr:row>132</xdr:row>
      <xdr:rowOff>2010848</xdr:rowOff>
    </xdr:to>
    <xdr:pic>
      <xdr:nvPicPr>
        <xdr:cNvPr id="45" name="Picture 44">
          <a:extLst>
            <a:ext uri="{FF2B5EF4-FFF2-40B4-BE49-F238E27FC236}">
              <a16:creationId xmlns:a16="http://schemas.microsoft.com/office/drawing/2014/main" id="{00000000-0008-0000-0100-00002D000000}"/>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238126" y="46929676"/>
          <a:ext cx="9182099" cy="1972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38101</xdr:colOff>
      <xdr:row>137</xdr:row>
      <xdr:rowOff>47626</xdr:rowOff>
    </xdr:from>
    <xdr:to>
      <xdr:col>10</xdr:col>
      <xdr:colOff>133351</xdr:colOff>
      <xdr:row>137</xdr:row>
      <xdr:rowOff>2297970</xdr:rowOff>
    </xdr:to>
    <xdr:pic>
      <xdr:nvPicPr>
        <xdr:cNvPr id="50" name="Picture 49">
          <a:extLst>
            <a:ext uri="{FF2B5EF4-FFF2-40B4-BE49-F238E27FC236}">
              <a16:creationId xmlns:a16="http://schemas.microsoft.com/office/drawing/2014/main" id="{00000000-0008-0000-0100-000032000000}"/>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85751" y="51073051"/>
          <a:ext cx="9048750" cy="22503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66674</xdr:colOff>
      <xdr:row>140</xdr:row>
      <xdr:rowOff>38101</xdr:rowOff>
    </xdr:from>
    <xdr:to>
      <xdr:col>10</xdr:col>
      <xdr:colOff>123825</xdr:colOff>
      <xdr:row>140</xdr:row>
      <xdr:rowOff>1781843</xdr:rowOff>
    </xdr:to>
    <xdr:pic>
      <xdr:nvPicPr>
        <xdr:cNvPr id="55" name="Picture 54">
          <a:extLst>
            <a:ext uri="{FF2B5EF4-FFF2-40B4-BE49-F238E27FC236}">
              <a16:creationId xmlns:a16="http://schemas.microsoft.com/office/drawing/2014/main" id="{00000000-0008-0000-0100-000037000000}"/>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314324" y="54359176"/>
          <a:ext cx="9010651" cy="1743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19051</xdr:colOff>
      <xdr:row>146</xdr:row>
      <xdr:rowOff>762001</xdr:rowOff>
    </xdr:from>
    <xdr:to>
      <xdr:col>10</xdr:col>
      <xdr:colOff>133351</xdr:colOff>
      <xdr:row>147</xdr:row>
      <xdr:rowOff>1587202</xdr:rowOff>
    </xdr:to>
    <xdr:pic>
      <xdr:nvPicPr>
        <xdr:cNvPr id="57" name="Picture 56">
          <a:extLst>
            <a:ext uri="{FF2B5EF4-FFF2-40B4-BE49-F238E27FC236}">
              <a16:creationId xmlns:a16="http://schemas.microsoft.com/office/drawing/2014/main" id="{00000000-0008-0000-0100-00003900000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266701" y="60083701"/>
          <a:ext cx="9067800" cy="1606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172</xdr:row>
      <xdr:rowOff>47625</xdr:rowOff>
    </xdr:from>
    <xdr:to>
      <xdr:col>6</xdr:col>
      <xdr:colOff>123825</xdr:colOff>
      <xdr:row>172</xdr:row>
      <xdr:rowOff>657225</xdr:rowOff>
    </xdr:to>
    <xdr:pic>
      <xdr:nvPicPr>
        <xdr:cNvPr id="60" name="Picture 59">
          <a:extLst>
            <a:ext uri="{FF2B5EF4-FFF2-40B4-BE49-F238E27FC236}">
              <a16:creationId xmlns:a16="http://schemas.microsoft.com/office/drawing/2014/main" id="{00000000-0008-0000-0100-00003C000000}"/>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304800" y="73132950"/>
          <a:ext cx="512445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1038225</xdr:colOff>
          <xdr:row>0</xdr:row>
          <xdr:rowOff>19050</xdr:rowOff>
        </xdr:from>
        <xdr:to>
          <xdr:col>11</xdr:col>
          <xdr:colOff>85725</xdr:colOff>
          <xdr:row>0</xdr:row>
          <xdr:rowOff>200025</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01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0</xdr:row>
          <xdr:rowOff>19050</xdr:rowOff>
        </xdr:from>
        <xdr:to>
          <xdr:col>12</xdr:col>
          <xdr:colOff>647700</xdr:colOff>
          <xdr:row>0</xdr:row>
          <xdr:rowOff>200025</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0100-000003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Select Printer/Set Up Print</a:t>
              </a:r>
            </a:p>
          </xdr:txBody>
        </xdr:sp>
        <xdr:clientData fPrintsWithSheet="0"/>
      </xdr:twoCellAnchor>
    </mc:Choice>
    <mc:Fallback/>
  </mc:AlternateContent>
  <xdr:twoCellAnchor editAs="oneCell">
    <xdr:from>
      <xdr:col>2</xdr:col>
      <xdr:colOff>304800</xdr:colOff>
      <xdr:row>70</xdr:row>
      <xdr:rowOff>38100</xdr:rowOff>
    </xdr:from>
    <xdr:to>
      <xdr:col>6</xdr:col>
      <xdr:colOff>0</xdr:colOff>
      <xdr:row>74</xdr:row>
      <xdr:rowOff>66675</xdr:rowOff>
    </xdr:to>
    <xdr:pic>
      <xdr:nvPicPr>
        <xdr:cNvPr id="47" name="Picture 46">
          <a:extLst>
            <a:ext uri="{FF2B5EF4-FFF2-40B4-BE49-F238E27FC236}">
              <a16:creationId xmlns:a16="http://schemas.microsoft.com/office/drawing/2014/main" id="{00000000-0008-0000-0100-00002F000000}"/>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847725" y="20269200"/>
          <a:ext cx="4457700"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94</xdr:row>
      <xdr:rowOff>57150</xdr:rowOff>
    </xdr:from>
    <xdr:to>
      <xdr:col>5</xdr:col>
      <xdr:colOff>219075</xdr:colOff>
      <xdr:row>98</xdr:row>
      <xdr:rowOff>28575</xdr:rowOff>
    </xdr:to>
    <xdr:pic>
      <xdr:nvPicPr>
        <xdr:cNvPr id="44" name="Picture 43">
          <a:extLst>
            <a:ext uri="{FF2B5EF4-FFF2-40B4-BE49-F238E27FC236}">
              <a16:creationId xmlns:a16="http://schemas.microsoft.com/office/drawing/2014/main" id="{00000000-0008-0000-0100-00002C0000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542925" y="27241500"/>
          <a:ext cx="4171950"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66676</xdr:colOff>
      <xdr:row>212</xdr:row>
      <xdr:rowOff>114301</xdr:rowOff>
    </xdr:from>
    <xdr:to>
      <xdr:col>7</xdr:col>
      <xdr:colOff>247651</xdr:colOff>
      <xdr:row>212</xdr:row>
      <xdr:rowOff>2165265</xdr:rowOff>
    </xdr:to>
    <xdr:pic>
      <xdr:nvPicPr>
        <xdr:cNvPr id="48" name="Picture 47">
          <a:extLst>
            <a:ext uri="{FF2B5EF4-FFF2-40B4-BE49-F238E27FC236}">
              <a16:creationId xmlns:a16="http://schemas.microsoft.com/office/drawing/2014/main" id="{00000000-0008-0000-0100-000030000000}"/>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609601" y="96783526"/>
          <a:ext cx="5676900" cy="2050964"/>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213</xdr:row>
      <xdr:rowOff>0</xdr:rowOff>
    </xdr:from>
    <xdr:to>
      <xdr:col>4</xdr:col>
      <xdr:colOff>1009650</xdr:colOff>
      <xdr:row>213</xdr:row>
      <xdr:rowOff>5054923</xdr:rowOff>
    </xdr:to>
    <xdr:pic>
      <xdr:nvPicPr>
        <xdr:cNvPr id="51" name="Picture 50">
          <a:extLst>
            <a:ext uri="{FF2B5EF4-FFF2-40B4-BE49-F238E27FC236}">
              <a16:creationId xmlns:a16="http://schemas.microsoft.com/office/drawing/2014/main" id="{00000000-0008-0000-0100-000033000000}"/>
            </a:ext>
          </a:extLst>
        </xdr:cNvPr>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542925" y="98964750"/>
          <a:ext cx="3914775" cy="5054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xdr:colOff>
      <xdr:row>58</xdr:row>
      <xdr:rowOff>28575</xdr:rowOff>
    </xdr:from>
    <xdr:to>
      <xdr:col>9</xdr:col>
      <xdr:colOff>228600</xdr:colOff>
      <xdr:row>63</xdr:row>
      <xdr:rowOff>9525</xdr:rowOff>
    </xdr:to>
    <xdr:pic>
      <xdr:nvPicPr>
        <xdr:cNvPr id="53" name="Picture 52">
          <a:extLst>
            <a:ext uri="{FF2B5EF4-FFF2-40B4-BE49-F238E27FC236}">
              <a16:creationId xmlns:a16="http://schemas.microsoft.com/office/drawing/2014/main" id="{00000000-0008-0000-0100-000035000000}"/>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390525" y="18468975"/>
          <a:ext cx="7629525"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45</xdr:row>
      <xdr:rowOff>57150</xdr:rowOff>
    </xdr:from>
    <xdr:to>
      <xdr:col>9</xdr:col>
      <xdr:colOff>95250</xdr:colOff>
      <xdr:row>54</xdr:row>
      <xdr:rowOff>38100</xdr:rowOff>
    </xdr:to>
    <xdr:pic>
      <xdr:nvPicPr>
        <xdr:cNvPr id="46" name="Picture 45">
          <a:extLst>
            <a:ext uri="{FF2B5EF4-FFF2-40B4-BE49-F238E27FC236}">
              <a16:creationId xmlns:a16="http://schemas.microsoft.com/office/drawing/2014/main" id="{00000000-0008-0000-0100-00002E000000}"/>
            </a:ext>
          </a:extLst>
        </xdr:cNvPr>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409575" y="16040100"/>
          <a:ext cx="7477125" cy="1438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57150</xdr:colOff>
      <xdr:row>13</xdr:row>
      <xdr:rowOff>38100</xdr:rowOff>
    </xdr:from>
    <xdr:to>
      <xdr:col>6</xdr:col>
      <xdr:colOff>1028700</xdr:colOff>
      <xdr:row>25</xdr:row>
      <xdr:rowOff>145964</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6725" y="7277100"/>
          <a:ext cx="5676900" cy="2393864"/>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180975</xdr:colOff>
      <xdr:row>26</xdr:row>
      <xdr:rowOff>114300</xdr:rowOff>
    </xdr:from>
    <xdr:to>
      <xdr:col>5</xdr:col>
      <xdr:colOff>180975</xdr:colOff>
      <xdr:row>57</xdr:row>
      <xdr:rowOff>92398</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0550" y="9829800"/>
          <a:ext cx="3914775" cy="58835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104775</xdr:colOff>
      <xdr:row>10</xdr:row>
      <xdr:rowOff>28575</xdr:rowOff>
    </xdr:from>
    <xdr:to>
      <xdr:col>6</xdr:col>
      <xdr:colOff>990600</xdr:colOff>
      <xdr:row>10</xdr:row>
      <xdr:rowOff>2628900</xdr:rowOff>
    </xdr:to>
    <xdr:pic>
      <xdr:nvPicPr>
        <xdr:cNvPr id="4" name="Picture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14325" y="3962400"/>
          <a:ext cx="5791200" cy="2600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6</xdr:col>
      <xdr:colOff>66675</xdr:colOff>
      <xdr:row>5</xdr:row>
      <xdr:rowOff>133350</xdr:rowOff>
    </xdr:from>
    <xdr:ext cx="184731" cy="264560"/>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3114675" y="133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1</xdr:col>
      <xdr:colOff>190500</xdr:colOff>
      <xdr:row>17</xdr:row>
      <xdr:rowOff>28576</xdr:rowOff>
    </xdr:from>
    <xdr:ext cx="4791075" cy="3581400"/>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190500" y="3124201"/>
          <a:ext cx="4791075" cy="3581400"/>
        </a:xfrm>
        <a:prstGeom prst="rect">
          <a:avLst/>
        </a:prstGeom>
        <a:noFill/>
        <a:ln>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rtl="0"/>
          <a:r>
            <a:rPr lang="en-US" sz="1100" b="0" i="0" baseline="0">
              <a:solidFill>
                <a:schemeClr val="tx1"/>
              </a:solidFill>
              <a:latin typeface="+mn-lt"/>
              <a:ea typeface="+mn-ea"/>
              <a:cs typeface="+mn-cs"/>
            </a:rPr>
            <a:t>Copyright: Washington State University Energy Program*</a:t>
          </a:r>
          <a:endParaRPr lang="en-US"/>
        </a:p>
        <a:p>
          <a:pPr rtl="0"/>
          <a:r>
            <a:rPr lang="en-US" sz="1100" b="0" i="0" baseline="0">
              <a:solidFill>
                <a:schemeClr val="tx1"/>
              </a:solidFill>
              <a:latin typeface="+mn-lt"/>
              <a:ea typeface="+mn-ea"/>
              <a:cs typeface="+mn-cs"/>
            </a:rPr>
            <a:t>© 2024</a:t>
          </a:r>
          <a:endParaRPr lang="en-US"/>
        </a:p>
        <a:p>
          <a:pPr rtl="0" fontAlgn="base"/>
          <a:endParaRPr lang="en-US" sz="1100" b="0" i="0" baseline="0">
            <a:solidFill>
              <a:schemeClr val="tx1"/>
            </a:solidFill>
            <a:latin typeface="+mn-lt"/>
            <a:ea typeface="+mn-ea"/>
            <a:cs typeface="+mn-cs"/>
          </a:endParaRPr>
        </a:p>
        <a:p>
          <a:pPr rtl="0"/>
          <a:r>
            <a:rPr lang="en-US" sz="1100" b="0" i="0" baseline="0">
              <a:solidFill>
                <a:schemeClr val="tx1"/>
              </a:solidFill>
              <a:latin typeface="+mn-lt"/>
              <a:ea typeface="+mn-ea"/>
              <a:cs typeface="+mn-cs"/>
            </a:rPr>
            <a:t>*WSUEP grants limited, conditional permission to Designated Users for: </a:t>
          </a:r>
          <a:endParaRPr lang="en-US"/>
        </a:p>
        <a:p>
          <a:pPr rtl="0"/>
          <a:r>
            <a:rPr lang="en-US" sz="1100" b="0" i="0" baseline="0">
              <a:solidFill>
                <a:schemeClr val="tx1"/>
              </a:solidFill>
              <a:latin typeface="+mn-lt"/>
              <a:ea typeface="+mn-ea"/>
              <a:cs typeface="+mn-cs"/>
            </a:rPr>
            <a:t>1. Creation and distribution of free copies of the Spreadsheets and Workbooks, including electronic reproduction;</a:t>
          </a:r>
          <a:endParaRPr lang="en-US"/>
        </a:p>
        <a:p>
          <a:pPr rtl="0"/>
          <a:r>
            <a:rPr lang="en-US" sz="1100" b="0" i="0" baseline="0">
              <a:solidFill>
                <a:schemeClr val="tx1"/>
              </a:solidFill>
              <a:latin typeface="+mn-lt"/>
              <a:ea typeface="+mn-ea"/>
              <a:cs typeface="+mn-cs"/>
            </a:rPr>
            <a:t>2. Editing of unprotected input cells; and</a:t>
          </a:r>
          <a:endParaRPr lang="en-US"/>
        </a:p>
        <a:p>
          <a:pPr rtl="0"/>
          <a:r>
            <a:rPr lang="en-US" sz="1100" b="0" i="0" baseline="0">
              <a:solidFill>
                <a:schemeClr val="tx1"/>
              </a:solidFill>
              <a:latin typeface="+mn-lt"/>
              <a:ea typeface="+mn-ea"/>
              <a:cs typeface="+mn-cs"/>
            </a:rPr>
            <a:t>3. Printing results from the Workbooks;</a:t>
          </a:r>
          <a:endParaRPr lang="en-US"/>
        </a:p>
        <a:p>
          <a:pPr rtl="0" fontAlgn="base"/>
          <a:endParaRPr lang="en-US" sz="1100" b="0" i="0" baseline="0">
            <a:solidFill>
              <a:schemeClr val="tx1"/>
            </a:solidFill>
            <a:latin typeface="+mn-lt"/>
            <a:ea typeface="+mn-ea"/>
            <a:cs typeface="+mn-cs"/>
          </a:endParaRPr>
        </a:p>
        <a:p>
          <a:pPr rtl="0"/>
          <a:r>
            <a:rPr lang="en-US" sz="1100" b="0" i="0" baseline="0">
              <a:solidFill>
                <a:schemeClr val="tx1"/>
              </a:solidFill>
              <a:latin typeface="+mn-lt"/>
              <a:ea typeface="+mn-ea"/>
              <a:cs typeface="+mn-cs"/>
            </a:rPr>
            <a:t>The condition for permission is that the source of any materials copied or used from the Spreadsheets or Workbooks shall be acknowledged as: "Copied by permission from Washington State University  Energy Program."</a:t>
          </a:r>
          <a:endParaRPr lang="en-US"/>
        </a:p>
        <a:p>
          <a:pPr rtl="0" fontAlgn="base"/>
          <a:endParaRPr lang="en-US" sz="1100" b="0" i="0" baseline="0">
            <a:solidFill>
              <a:schemeClr val="tx1"/>
            </a:solidFill>
            <a:latin typeface="+mn-lt"/>
            <a:ea typeface="+mn-ea"/>
            <a:cs typeface="+mn-cs"/>
          </a:endParaRPr>
        </a:p>
        <a:p>
          <a:pPr rtl="0"/>
          <a:r>
            <a:rPr lang="en-US" sz="1100" b="0" i="0" baseline="0">
              <a:solidFill>
                <a:schemeClr val="tx1"/>
              </a:solidFill>
              <a:latin typeface="+mn-lt"/>
              <a:ea typeface="+mn-ea"/>
              <a:cs typeface="+mn-cs"/>
            </a:rPr>
            <a:t>No other use or purpose for copying is permitted including, without limitation, changing password protected cells in the Workbooks or selling or using the Spreadsheets and Workbooks in any way calculated to derive profit as a product or service. Report any violations of this Copyright Policy to:</a:t>
          </a:r>
          <a:endParaRPr lang="en-US"/>
        </a:p>
        <a:p>
          <a:pPr rtl="0"/>
          <a:r>
            <a:rPr lang="en-US" sz="1100" b="0" i="0" baseline="0">
              <a:solidFill>
                <a:schemeClr val="tx1"/>
              </a:solidFill>
              <a:latin typeface="+mn-lt"/>
              <a:ea typeface="+mn-ea"/>
              <a:cs typeface="+mn-cs"/>
            </a:rPr>
            <a:t>energycode@energy.wsu.edu. </a:t>
          </a:r>
          <a:endParaRPr lang="en-US"/>
        </a:p>
        <a:p>
          <a:pPr rtl="0" fontAlgn="base"/>
          <a:endParaRPr lang="en-US" sz="1100" b="0" i="0" baseline="0">
            <a:solidFill>
              <a:schemeClr val="tx1"/>
            </a:solidFill>
            <a:latin typeface="+mn-lt"/>
            <a:ea typeface="+mn-ea"/>
            <a:cs typeface="+mn-cs"/>
          </a:endParaRPr>
        </a:p>
        <a:p>
          <a:pPr rtl="0"/>
          <a:r>
            <a:rPr lang="en-US" sz="1100" b="0" i="0" baseline="0">
              <a:solidFill>
                <a:schemeClr val="tx1"/>
              </a:solidFill>
              <a:latin typeface="+mn-lt"/>
              <a:ea typeface="+mn-ea"/>
              <a:cs typeface="+mn-cs"/>
            </a:rPr>
            <a:t>All other rights reserved.</a:t>
          </a:r>
          <a:endParaRPr lang="en-US"/>
        </a:p>
        <a:p>
          <a:endParaRPr lang="en-US" sz="1100"/>
        </a:p>
      </xdr:txBody>
    </xdr:sp>
    <xdr:clientData/>
  </xdr:oneCellAnchor>
  <xdr:oneCellAnchor>
    <xdr:from>
      <xdr:col>1</xdr:col>
      <xdr:colOff>190500</xdr:colOff>
      <xdr:row>4</xdr:row>
      <xdr:rowOff>114300</xdr:rowOff>
    </xdr:from>
    <xdr:ext cx="4781550" cy="1990725"/>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90500" y="1104900"/>
          <a:ext cx="4781550" cy="1990725"/>
        </a:xfrm>
        <a:prstGeom prst="rect">
          <a:avLst/>
        </a:prstGeom>
        <a:noFill/>
        <a:ln>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indent="0" rtl="0"/>
          <a:r>
            <a:rPr lang="en-US" sz="1100" b="1" i="0" baseline="0">
              <a:solidFill>
                <a:schemeClr val="tx1"/>
              </a:solidFill>
              <a:latin typeface="+mn-lt"/>
              <a:ea typeface="+mn-ea"/>
              <a:cs typeface="+mn-cs"/>
            </a:rPr>
            <a:t>Washington State Energy Code</a:t>
          </a:r>
        </a:p>
        <a:p>
          <a:pPr marL="0" indent="0" rtl="0"/>
          <a:r>
            <a:rPr lang="en-US" sz="1100" b="1" i="0" baseline="0">
              <a:solidFill>
                <a:schemeClr val="tx1"/>
              </a:solidFill>
              <a:latin typeface="+mn-lt"/>
              <a:ea typeface="+mn-ea"/>
              <a:cs typeface="+mn-cs"/>
            </a:rPr>
            <a:t>Component Performance Worksheet</a:t>
          </a:r>
        </a:p>
        <a:p>
          <a:pPr marL="0" indent="0" rtl="0"/>
          <a:r>
            <a:rPr lang="en-US" sz="1100" b="0" i="0" baseline="0">
              <a:solidFill>
                <a:schemeClr val="tx1"/>
              </a:solidFill>
              <a:latin typeface="+mn-lt"/>
              <a:ea typeface="+mn-ea"/>
              <a:cs typeface="+mn-cs"/>
            </a:rPr>
            <a:t> </a:t>
          </a:r>
        </a:p>
        <a:p>
          <a:pPr marL="0" indent="0" rtl="0" fontAlgn="base"/>
          <a:r>
            <a:rPr lang="en-US" sz="1100" b="0" i="0" baseline="0">
              <a:solidFill>
                <a:schemeClr val="tx1"/>
              </a:solidFill>
              <a:latin typeface="+mn-lt"/>
              <a:ea typeface="+mn-ea"/>
              <a:cs typeface="+mn-cs"/>
            </a:rPr>
            <a:t>For All Residential Occupancies</a:t>
          </a:r>
        </a:p>
        <a:p>
          <a:pPr marL="0" indent="0" rtl="0" fontAlgn="base"/>
          <a:endParaRPr lang="en-US" sz="1100" b="0" i="0" baseline="0">
            <a:solidFill>
              <a:schemeClr val="tx1"/>
            </a:solidFill>
            <a:latin typeface="+mn-lt"/>
            <a:ea typeface="+mn-ea"/>
            <a:cs typeface="+mn-cs"/>
          </a:endParaRPr>
        </a:p>
        <a:p>
          <a:pPr marL="0" indent="0" rtl="0"/>
          <a:r>
            <a:rPr lang="en-US" sz="1100" b="0" i="0" baseline="0">
              <a:solidFill>
                <a:schemeClr val="tx1"/>
              </a:solidFill>
              <a:latin typeface="+mn-lt"/>
              <a:ea typeface="+mn-ea"/>
              <a:cs typeface="+mn-cs"/>
            </a:rPr>
            <a:t>Washington State University Energy Program</a:t>
          </a:r>
        </a:p>
        <a:p>
          <a:pPr marL="0" indent="0" rtl="0"/>
          <a:r>
            <a:rPr lang="en-US" sz="1100" b="0" i="0" baseline="0">
              <a:solidFill>
                <a:schemeClr val="tx1"/>
              </a:solidFill>
              <a:latin typeface="+mn-lt"/>
              <a:ea typeface="+mn-ea"/>
              <a:cs typeface="+mn-cs"/>
            </a:rPr>
            <a:t>925 Plum Street SE</a:t>
          </a:r>
        </a:p>
        <a:p>
          <a:pPr marL="0" indent="0" rtl="0"/>
          <a:r>
            <a:rPr lang="en-US" sz="1100" b="0" i="0" baseline="0">
              <a:solidFill>
                <a:schemeClr val="tx1"/>
              </a:solidFill>
              <a:latin typeface="+mn-lt"/>
              <a:ea typeface="+mn-ea"/>
              <a:cs typeface="+mn-cs"/>
            </a:rPr>
            <a:t>P.O. Box 43165</a:t>
          </a:r>
        </a:p>
        <a:p>
          <a:pPr marL="0" indent="0" rtl="0"/>
          <a:r>
            <a:rPr lang="en-US" sz="1100" b="0" i="0" baseline="0">
              <a:solidFill>
                <a:schemeClr val="tx1"/>
              </a:solidFill>
              <a:latin typeface="+mn-lt"/>
              <a:ea typeface="+mn-ea"/>
              <a:cs typeface="+mn-cs"/>
            </a:rPr>
            <a:t>Olympia, WA 98504-3165</a:t>
          </a:r>
        </a:p>
        <a:p>
          <a:pPr marL="0" indent="0" rtl="0" fontAlgn="base"/>
          <a:endParaRPr lang="en-US" sz="1100" b="0" i="0" baseline="0">
            <a:solidFill>
              <a:schemeClr val="tx1"/>
            </a:solidFill>
            <a:latin typeface="+mn-lt"/>
            <a:ea typeface="+mn-ea"/>
            <a:cs typeface="+mn-cs"/>
          </a:endParaRPr>
        </a:p>
        <a:p>
          <a:pPr marL="0" indent="0" rtl="0"/>
          <a:r>
            <a:rPr lang="en-US" sz="1100" b="0" i="0" baseline="0">
              <a:solidFill>
                <a:schemeClr val="tx1"/>
              </a:solidFill>
              <a:latin typeface="+mn-lt"/>
              <a:ea typeface="+mn-ea"/>
              <a:cs typeface="+mn-cs"/>
            </a:rPr>
            <a:t>E-mail: energycode@energy.wsu.edu</a:t>
          </a:r>
        </a:p>
        <a:p>
          <a:pPr marL="0" indent="0" rtl="0" fontAlgn="base"/>
          <a:endParaRPr lang="en-US" sz="1100" b="0" i="0" baseline="0">
            <a:solidFill>
              <a:schemeClr val="tx1"/>
            </a:solidFill>
            <a:latin typeface="+mn-lt"/>
            <a:ea typeface="+mn-ea"/>
            <a:cs typeface="+mn-cs"/>
          </a:endParaRPr>
        </a:p>
        <a:p>
          <a:pPr marL="0" indent="0" rtl="0" fontAlgn="base"/>
          <a:endParaRPr lang="en-US" sz="1100" b="0" i="0" baseline="0">
            <a:solidFill>
              <a:schemeClr val="tx1"/>
            </a:solidFill>
            <a:latin typeface="+mn-lt"/>
            <a:ea typeface="+mn-ea"/>
            <a:cs typeface="+mn-cs"/>
          </a:endParaRPr>
        </a:p>
        <a:p>
          <a:pPr marL="0" indent="0"/>
          <a:endParaRPr lang="en-US" sz="1100" b="0" i="0" baseline="0">
            <a:solidFill>
              <a:schemeClr val="tx1"/>
            </a:solidFill>
            <a:latin typeface="+mn-lt"/>
            <a:ea typeface="+mn-ea"/>
            <a:cs typeface="+mn-cs"/>
          </a:endParaRPr>
        </a:p>
      </xdr:txBody>
    </xdr:sp>
    <xdr:clientData/>
  </xdr:oneCellAnchor>
  <mc:AlternateContent xmlns:mc="http://schemas.openxmlformats.org/markup-compatibility/2006">
    <mc:Choice xmlns:a14="http://schemas.microsoft.com/office/drawing/2010/main" Requires="a14">
      <xdr:twoCellAnchor editAs="oneCell">
        <xdr:from>
          <xdr:col>21</xdr:col>
          <xdr:colOff>47625</xdr:colOff>
          <xdr:row>2</xdr:row>
          <xdr:rowOff>47625</xdr:rowOff>
        </xdr:from>
        <xdr:to>
          <xdr:col>24</xdr:col>
          <xdr:colOff>47625</xdr:colOff>
          <xdr:row>3</xdr:row>
          <xdr:rowOff>95250</xdr:rowOff>
        </xdr:to>
        <xdr:sp macro="" textlink="">
          <xdr:nvSpPr>
            <xdr:cNvPr id="1025" name="ProtectionButton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Unprotect Workbook</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1</xdr:row>
          <xdr:rowOff>38100</xdr:rowOff>
        </xdr:from>
        <xdr:to>
          <xdr:col>24</xdr:col>
          <xdr:colOff>57150</xdr:colOff>
          <xdr:row>2</xdr:row>
          <xdr:rowOff>38100</xdr:rowOff>
        </xdr:to>
        <xdr:sp macro="" textlink="">
          <xdr:nvSpPr>
            <xdr:cNvPr id="1026" name="ProtectionButton1"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Admin:  Prep for Save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5</xdr:row>
          <xdr:rowOff>28575</xdr:rowOff>
        </xdr:from>
        <xdr:to>
          <xdr:col>24</xdr:col>
          <xdr:colOff>66675</xdr:colOff>
          <xdr:row>7</xdr:row>
          <xdr:rowOff>0</xdr:rowOff>
        </xdr:to>
        <xdr:sp macro="" textlink="">
          <xdr:nvSpPr>
            <xdr:cNvPr id="1027" name="UnhideSheetsButton"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Unhide Calculation Sheets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7</xdr:row>
          <xdr:rowOff>0</xdr:rowOff>
        </xdr:from>
        <xdr:to>
          <xdr:col>29</xdr:col>
          <xdr:colOff>323850</xdr:colOff>
          <xdr:row>9</xdr:row>
          <xdr:rowOff>28575</xdr:rowOff>
        </xdr:to>
        <xdr:sp macro="" textlink="">
          <xdr:nvSpPr>
            <xdr:cNvPr id="1028" name="ProtectionButton1" hidden="1">
              <a:extLst>
                <a:ext uri="{63B3BB69-23CF-44E3-9099-C40C66FF867C}">
                  <a14:compatExt spid="_x0000_s1028"/>
                </a:ext>
                <a:ext uri="{FF2B5EF4-FFF2-40B4-BE49-F238E27FC236}">
                  <a16:creationId xmlns:a16="http://schemas.microsoft.com/office/drawing/2014/main" id="{00000000-0008-0000-04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Review &amp; Accept License Agreement &amp; Open Calculator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3</xdr:row>
          <xdr:rowOff>104775</xdr:rowOff>
        </xdr:from>
        <xdr:to>
          <xdr:col>24</xdr:col>
          <xdr:colOff>47625</xdr:colOff>
          <xdr:row>4</xdr:row>
          <xdr:rowOff>152400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4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Clear Macro Message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71</xdr:row>
          <xdr:rowOff>0</xdr:rowOff>
        </xdr:from>
        <xdr:to>
          <xdr:col>11</xdr:col>
          <xdr:colOff>457200</xdr:colOff>
          <xdr:row>104</xdr:row>
          <xdr:rowOff>114300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400-00000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Registration</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476250</xdr:colOff>
          <xdr:row>70</xdr:row>
          <xdr:rowOff>0</xdr:rowOff>
        </xdr:from>
        <xdr:to>
          <xdr:col>14</xdr:col>
          <xdr:colOff>476250</xdr:colOff>
          <xdr:row>104</xdr:row>
          <xdr:rowOff>114300</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400-00000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Reset Registration</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71</xdr:row>
          <xdr:rowOff>0</xdr:rowOff>
        </xdr:from>
        <xdr:to>
          <xdr:col>11</xdr:col>
          <xdr:colOff>457200</xdr:colOff>
          <xdr:row>104</xdr:row>
          <xdr:rowOff>114300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400-00000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Send Registration</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228600</xdr:colOff>
          <xdr:row>39</xdr:row>
          <xdr:rowOff>85725</xdr:rowOff>
        </xdr:from>
        <xdr:to>
          <xdr:col>2</xdr:col>
          <xdr:colOff>942975</xdr:colOff>
          <xdr:row>43</xdr:row>
          <xdr:rowOff>47625</xdr:rowOff>
        </xdr:to>
        <xdr:sp macro="" textlink="">
          <xdr:nvSpPr>
            <xdr:cNvPr id="1039" name="ProtectionButton1" hidden="1">
              <a:extLst>
                <a:ext uri="{63B3BB69-23CF-44E3-9099-C40C66FF867C}">
                  <a14:compatExt spid="_x0000_s1039"/>
                </a:ext>
                <a:ext uri="{FF2B5EF4-FFF2-40B4-BE49-F238E27FC236}">
                  <a16:creationId xmlns:a16="http://schemas.microsoft.com/office/drawing/2014/main" id="{00000000-0008-0000-0400-00000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Reivew License Agreement &amp; </a:t>
              </a:r>
            </a:p>
            <a:p>
              <a:pPr algn="ctr" rtl="0">
                <a:defRPr sz="1000"/>
              </a:pPr>
              <a:r>
                <a:rPr lang="en-US" sz="1200" b="1" i="0" u="none" strike="noStrike" baseline="0">
                  <a:solidFill>
                    <a:srgbClr val="000000"/>
                  </a:solidFill>
                  <a:latin typeface="Calibri"/>
                  <a:ea typeface="Calibri"/>
                  <a:cs typeface="Calibri"/>
                </a:rPr>
                <a:t>Open Tool</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942975</xdr:colOff>
          <xdr:row>39</xdr:row>
          <xdr:rowOff>76200</xdr:rowOff>
        </xdr:from>
        <xdr:to>
          <xdr:col>4</xdr:col>
          <xdr:colOff>695325</xdr:colOff>
          <xdr:row>43</xdr:row>
          <xdr:rowOff>38100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400-00001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ea typeface="Calibri"/>
                  <a:cs typeface="Calibri"/>
                </a:rPr>
                <a:t>Check System Info</a:t>
              </a:r>
            </a:p>
          </xdr:txBody>
        </xdr:sp>
        <xdr:clientData fLocksWithSheet="0"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99</xdr:row>
          <xdr:rowOff>28575</xdr:rowOff>
        </xdr:from>
        <xdr:to>
          <xdr:col>10</xdr:col>
          <xdr:colOff>47625</xdr:colOff>
          <xdr:row>99</xdr:row>
          <xdr:rowOff>238125</xdr:rowOff>
        </xdr:to>
        <xdr:sp macro="" textlink="">
          <xdr:nvSpPr>
            <xdr:cNvPr id="8579" name="Button 387" hidden="1">
              <a:extLst>
                <a:ext uri="{63B3BB69-23CF-44E3-9099-C40C66FF867C}">
                  <a14:compatExt spid="_x0000_s8579"/>
                </a:ext>
                <a:ext uri="{FF2B5EF4-FFF2-40B4-BE49-F238E27FC236}">
                  <a16:creationId xmlns:a16="http://schemas.microsoft.com/office/drawing/2014/main" id="{00000000-0008-0000-0500-000083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69</xdr:row>
          <xdr:rowOff>38100</xdr:rowOff>
        </xdr:from>
        <xdr:to>
          <xdr:col>10</xdr:col>
          <xdr:colOff>57150</xdr:colOff>
          <xdr:row>70</xdr:row>
          <xdr:rowOff>0</xdr:rowOff>
        </xdr:to>
        <xdr:sp macro="" textlink="">
          <xdr:nvSpPr>
            <xdr:cNvPr id="8594" name="Button 402" hidden="1">
              <a:extLst>
                <a:ext uri="{63B3BB69-23CF-44E3-9099-C40C66FF867C}">
                  <a14:compatExt spid="_x0000_s8594"/>
                </a:ext>
                <a:ext uri="{FF2B5EF4-FFF2-40B4-BE49-F238E27FC236}">
                  <a16:creationId xmlns:a16="http://schemas.microsoft.com/office/drawing/2014/main" id="{00000000-0008-0000-0500-000092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87</xdr:row>
          <xdr:rowOff>19050</xdr:rowOff>
        </xdr:from>
        <xdr:to>
          <xdr:col>10</xdr:col>
          <xdr:colOff>66675</xdr:colOff>
          <xdr:row>87</xdr:row>
          <xdr:rowOff>228600</xdr:rowOff>
        </xdr:to>
        <xdr:sp macro="" textlink="">
          <xdr:nvSpPr>
            <xdr:cNvPr id="8595" name="Button 403" hidden="1">
              <a:extLst>
                <a:ext uri="{63B3BB69-23CF-44E3-9099-C40C66FF867C}">
                  <a14:compatExt spid="_x0000_s8595"/>
                </a:ext>
                <a:ext uri="{FF2B5EF4-FFF2-40B4-BE49-F238E27FC236}">
                  <a16:creationId xmlns:a16="http://schemas.microsoft.com/office/drawing/2014/main" id="{00000000-0008-0000-0500-000093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361950</xdr:colOff>
          <xdr:row>169</xdr:row>
          <xdr:rowOff>171450</xdr:rowOff>
        </xdr:from>
        <xdr:to>
          <xdr:col>10</xdr:col>
          <xdr:colOff>409575</xdr:colOff>
          <xdr:row>170</xdr:row>
          <xdr:rowOff>180975</xdr:rowOff>
        </xdr:to>
        <xdr:sp macro="" textlink="">
          <xdr:nvSpPr>
            <xdr:cNvPr id="8596" name="Button 404" hidden="1">
              <a:extLst>
                <a:ext uri="{63B3BB69-23CF-44E3-9099-C40C66FF867C}">
                  <a14:compatExt spid="_x0000_s8596"/>
                </a:ext>
                <a:ext uri="{FF2B5EF4-FFF2-40B4-BE49-F238E27FC236}">
                  <a16:creationId xmlns:a16="http://schemas.microsoft.com/office/drawing/2014/main" id="{00000000-0008-0000-0500-000094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400050</xdr:colOff>
          <xdr:row>180</xdr:row>
          <xdr:rowOff>171450</xdr:rowOff>
        </xdr:from>
        <xdr:to>
          <xdr:col>11</xdr:col>
          <xdr:colOff>0</xdr:colOff>
          <xdr:row>181</xdr:row>
          <xdr:rowOff>180975</xdr:rowOff>
        </xdr:to>
        <xdr:sp macro="" textlink="">
          <xdr:nvSpPr>
            <xdr:cNvPr id="8597" name="Button 405" hidden="1">
              <a:extLst>
                <a:ext uri="{63B3BB69-23CF-44E3-9099-C40C66FF867C}">
                  <a14:compatExt spid="_x0000_s8597"/>
                </a:ext>
                <a:ext uri="{FF2B5EF4-FFF2-40B4-BE49-F238E27FC236}">
                  <a16:creationId xmlns:a16="http://schemas.microsoft.com/office/drawing/2014/main" id="{00000000-0008-0000-0500-000095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304800</xdr:colOff>
          <xdr:row>196</xdr:row>
          <xdr:rowOff>171450</xdr:rowOff>
        </xdr:from>
        <xdr:to>
          <xdr:col>10</xdr:col>
          <xdr:colOff>352425</xdr:colOff>
          <xdr:row>197</xdr:row>
          <xdr:rowOff>180975</xdr:rowOff>
        </xdr:to>
        <xdr:sp macro="" textlink="">
          <xdr:nvSpPr>
            <xdr:cNvPr id="8598" name="Button 406" hidden="1">
              <a:extLst>
                <a:ext uri="{63B3BB69-23CF-44E3-9099-C40C66FF867C}">
                  <a14:compatExt spid="_x0000_s8598"/>
                </a:ext>
                <a:ext uri="{FF2B5EF4-FFF2-40B4-BE49-F238E27FC236}">
                  <a16:creationId xmlns:a16="http://schemas.microsoft.com/office/drawing/2014/main" id="{00000000-0008-0000-0500-000096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314325</xdr:colOff>
          <xdr:row>207</xdr:row>
          <xdr:rowOff>171450</xdr:rowOff>
        </xdr:from>
        <xdr:to>
          <xdr:col>10</xdr:col>
          <xdr:colOff>361950</xdr:colOff>
          <xdr:row>208</xdr:row>
          <xdr:rowOff>180975</xdr:rowOff>
        </xdr:to>
        <xdr:sp macro="" textlink="">
          <xdr:nvSpPr>
            <xdr:cNvPr id="8599" name="Button 407" hidden="1">
              <a:extLst>
                <a:ext uri="{63B3BB69-23CF-44E3-9099-C40C66FF867C}">
                  <a14:compatExt spid="_x0000_s8599"/>
                </a:ext>
                <a:ext uri="{FF2B5EF4-FFF2-40B4-BE49-F238E27FC236}">
                  <a16:creationId xmlns:a16="http://schemas.microsoft.com/office/drawing/2014/main" id="{00000000-0008-0000-0500-000097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7</xdr:col>
          <xdr:colOff>257175</xdr:colOff>
          <xdr:row>217</xdr:row>
          <xdr:rowOff>19050</xdr:rowOff>
        </xdr:from>
        <xdr:to>
          <xdr:col>10</xdr:col>
          <xdr:colOff>295275</xdr:colOff>
          <xdr:row>217</xdr:row>
          <xdr:rowOff>228600</xdr:rowOff>
        </xdr:to>
        <xdr:sp macro="" textlink="">
          <xdr:nvSpPr>
            <xdr:cNvPr id="8600" name="Button 408" hidden="1">
              <a:extLst>
                <a:ext uri="{63B3BB69-23CF-44E3-9099-C40C66FF867C}">
                  <a14:compatExt spid="_x0000_s8600"/>
                </a:ext>
                <a:ext uri="{FF2B5EF4-FFF2-40B4-BE49-F238E27FC236}">
                  <a16:creationId xmlns:a16="http://schemas.microsoft.com/office/drawing/2014/main" id="{00000000-0008-0000-0500-00009821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sng" strike="noStrike" baseline="0">
                  <a:solidFill>
                    <a:srgbClr val="0000FF"/>
                  </a:solidFill>
                  <a:latin typeface="Calibri"/>
                  <a:ea typeface="Calibri"/>
                  <a:cs typeface="Calibri"/>
                </a:rPr>
                <a:t>Go to Custom Input</a:t>
              </a:r>
            </a:p>
          </xdr:txBody>
        </xdr:sp>
        <xdr:clientData fLocksWithSheet="0" fPrintsWithSheet="0"/>
      </xdr:twoCellAnchor>
    </mc:Choice>
    <mc:Fallback/>
  </mc:AlternateContent>
  <xdr:twoCellAnchor>
    <xdr:from>
      <xdr:col>8</xdr:col>
      <xdr:colOff>85725</xdr:colOff>
      <xdr:row>683</xdr:row>
      <xdr:rowOff>28575</xdr:rowOff>
    </xdr:from>
    <xdr:to>
      <xdr:col>8</xdr:col>
      <xdr:colOff>123825</xdr:colOff>
      <xdr:row>685</xdr:row>
      <xdr:rowOff>9525</xdr:rowOff>
    </xdr:to>
    <xdr:grpSp>
      <xdr:nvGrpSpPr>
        <xdr:cNvPr id="8700" name="Group 508">
          <a:extLst>
            <a:ext uri="{FF2B5EF4-FFF2-40B4-BE49-F238E27FC236}">
              <a16:creationId xmlns:a16="http://schemas.microsoft.com/office/drawing/2014/main" id="{00000000-0008-0000-0400-0000FC210000}"/>
            </a:ext>
          </a:extLst>
        </xdr:cNvPr>
        <xdr:cNvGrpSpPr>
          <a:grpSpLocks/>
        </xdr:cNvGrpSpPr>
      </xdr:nvGrpSpPr>
      <xdr:grpSpPr bwMode="auto">
        <a:xfrm>
          <a:off x="6610350" y="61493400"/>
          <a:ext cx="38100" cy="0"/>
          <a:chOff x="10909" y="-267"/>
          <a:chExt cx="60" cy="600"/>
        </a:xfrm>
      </xdr:grpSpPr>
      <xdr:sp macro="" textlink="">
        <xdr:nvSpPr>
          <xdr:cNvPr id="8702" name="Freeform 510">
            <a:extLst>
              <a:ext uri="{FF2B5EF4-FFF2-40B4-BE49-F238E27FC236}">
                <a16:creationId xmlns:a16="http://schemas.microsoft.com/office/drawing/2014/main" id="{00000000-0008-0000-0400-0000FE210000}"/>
              </a:ext>
            </a:extLst>
          </xdr:cNvPr>
          <xdr:cNvSpPr>
            <a:spLocks/>
          </xdr:cNvSpPr>
        </xdr:nvSpPr>
        <xdr:spPr bwMode="auto">
          <a:xfrm>
            <a:off x="10939" y="-237"/>
            <a:ext cx="0" cy="240"/>
          </a:xfrm>
          <a:custGeom>
            <a:avLst/>
            <a:gdLst>
              <a:gd name="T0" fmla="+- 0 -237 -237"/>
              <a:gd name="T1" fmla="*/ -237 h 240"/>
              <a:gd name="T2" fmla="+- 0 3 -237"/>
              <a:gd name="T3" fmla="*/ 3 h 240"/>
            </a:gdLst>
            <a:ahLst/>
            <a:cxnLst>
              <a:cxn ang="0">
                <a:pos x="0" y="T1"/>
              </a:cxn>
              <a:cxn ang="0">
                <a:pos x="0" y="T3"/>
              </a:cxn>
            </a:cxnLst>
            <a:rect l="0" t="0" r="r" b="b"/>
            <a:pathLst>
              <a:path h="240">
                <a:moveTo>
                  <a:pt x="0" y="0"/>
                </a:moveTo>
                <a:lnTo>
                  <a:pt x="0" y="240"/>
                </a:lnTo>
              </a:path>
            </a:pathLst>
          </a:custGeom>
          <a:noFill/>
          <a:ln w="38100">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8701" name="Freeform 509">
            <a:extLst>
              <a:ext uri="{FF2B5EF4-FFF2-40B4-BE49-F238E27FC236}">
                <a16:creationId xmlns:a16="http://schemas.microsoft.com/office/drawing/2014/main" id="{00000000-0008-0000-0400-0000FD210000}"/>
              </a:ext>
            </a:extLst>
          </xdr:cNvPr>
          <xdr:cNvSpPr>
            <a:spLocks/>
          </xdr:cNvSpPr>
        </xdr:nvSpPr>
        <xdr:spPr bwMode="auto">
          <a:xfrm>
            <a:off x="10939" y="3"/>
            <a:ext cx="0" cy="300"/>
          </a:xfrm>
          <a:custGeom>
            <a:avLst/>
            <a:gdLst>
              <a:gd name="T0" fmla="+- 0 3 3"/>
              <a:gd name="T1" fmla="*/ 3 h 300"/>
              <a:gd name="T2" fmla="+- 0 303 3"/>
              <a:gd name="T3" fmla="*/ 303 h 300"/>
            </a:gdLst>
            <a:ahLst/>
            <a:cxnLst>
              <a:cxn ang="0">
                <a:pos x="0" y="T1"/>
              </a:cxn>
              <a:cxn ang="0">
                <a:pos x="0" y="T3"/>
              </a:cxn>
            </a:cxnLst>
            <a:rect l="0" t="0" r="r" b="b"/>
            <a:pathLst>
              <a:path h="300">
                <a:moveTo>
                  <a:pt x="0" y="0"/>
                </a:moveTo>
                <a:lnTo>
                  <a:pt x="0" y="300"/>
                </a:lnTo>
              </a:path>
            </a:pathLst>
          </a:custGeom>
          <a:noFill/>
          <a:ln w="38100">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8</xdr:col>
          <xdr:colOff>238125</xdr:colOff>
          <xdr:row>0</xdr:row>
          <xdr:rowOff>0</xdr:rowOff>
        </xdr:from>
        <xdr:to>
          <xdr:col>10</xdr:col>
          <xdr:colOff>609600</xdr:colOff>
          <xdr:row>0</xdr:row>
          <xdr:rowOff>180975</xdr:rowOff>
        </xdr:to>
        <xdr:sp macro="" textlink="">
          <xdr:nvSpPr>
            <xdr:cNvPr id="8727" name="Button 535" hidden="1">
              <a:extLst>
                <a:ext uri="{63B3BB69-23CF-44E3-9099-C40C66FF867C}">
                  <a14:compatExt spid="_x0000_s8727"/>
                </a:ext>
                <a:ext uri="{FF2B5EF4-FFF2-40B4-BE49-F238E27FC236}">
                  <a16:creationId xmlns:a16="http://schemas.microsoft.com/office/drawing/2014/main" id="{00000000-0008-0000-0500-00001722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314325</xdr:colOff>
          <xdr:row>0</xdr:row>
          <xdr:rowOff>0</xdr:rowOff>
        </xdr:from>
        <xdr:to>
          <xdr:col>13</xdr:col>
          <xdr:colOff>800100</xdr:colOff>
          <xdr:row>0</xdr:row>
          <xdr:rowOff>180975</xdr:rowOff>
        </xdr:to>
        <xdr:sp macro="" textlink="">
          <xdr:nvSpPr>
            <xdr:cNvPr id="8728" name="Button 536" hidden="1">
              <a:extLst>
                <a:ext uri="{63B3BB69-23CF-44E3-9099-C40C66FF867C}">
                  <a14:compatExt spid="_x0000_s8728"/>
                </a:ext>
                <a:ext uri="{FF2B5EF4-FFF2-40B4-BE49-F238E27FC236}">
                  <a16:creationId xmlns:a16="http://schemas.microsoft.com/office/drawing/2014/main" id="{00000000-0008-0000-0500-00001822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Select Printer/Set Up 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723900</xdr:colOff>
          <xdr:row>0</xdr:row>
          <xdr:rowOff>0</xdr:rowOff>
        </xdr:from>
        <xdr:to>
          <xdr:col>15</xdr:col>
          <xdr:colOff>695325</xdr:colOff>
          <xdr:row>0</xdr:row>
          <xdr:rowOff>180975</xdr:rowOff>
        </xdr:to>
        <xdr:sp macro="" textlink="">
          <xdr:nvSpPr>
            <xdr:cNvPr id="8731" name="Button 539" hidden="1">
              <a:extLst>
                <a:ext uri="{63B3BB69-23CF-44E3-9099-C40C66FF867C}">
                  <a14:compatExt spid="_x0000_s8731"/>
                </a:ext>
                <a:ext uri="{FF2B5EF4-FFF2-40B4-BE49-F238E27FC236}">
                  <a16:creationId xmlns:a16="http://schemas.microsoft.com/office/drawing/2014/main" id="{00000000-0008-0000-0500-00001B22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Adjust Page Breaks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1209675</xdr:colOff>
      <xdr:row>3</xdr:row>
      <xdr:rowOff>57150</xdr:rowOff>
    </xdr:from>
    <xdr:to>
      <xdr:col>8</xdr:col>
      <xdr:colOff>561975</xdr:colOff>
      <xdr:row>29</xdr:row>
      <xdr:rowOff>28575</xdr:rowOff>
    </xdr:to>
    <xdr:sp macro="" textlink="">
      <xdr:nvSpPr>
        <xdr:cNvPr id="16385" name="Text Box 1">
          <a:extLst>
            <a:ext uri="{FF2B5EF4-FFF2-40B4-BE49-F238E27FC236}">
              <a16:creationId xmlns:a16="http://schemas.microsoft.com/office/drawing/2014/main" id="{00000000-0008-0000-0500-000001400000}"/>
            </a:ext>
          </a:extLst>
        </xdr:cNvPr>
        <xdr:cNvSpPr txBox="1">
          <a:spLocks noChangeArrowheads="1"/>
        </xdr:cNvSpPr>
      </xdr:nvSpPr>
      <xdr:spPr bwMode="auto">
        <a:xfrm>
          <a:off x="6572250" y="752475"/>
          <a:ext cx="2457450" cy="4086225"/>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FFFFFF"/>
              </a:solidFill>
              <a:latin typeface="Arial"/>
              <a:cs typeface="Arial"/>
            </a:rPr>
            <a:t>Editing Instructions:</a:t>
          </a:r>
        </a:p>
        <a:p>
          <a:pPr algn="l" rtl="0">
            <a:defRPr sz="1000"/>
          </a:pPr>
          <a:endParaRPr lang="en-US" sz="1000" b="0" i="0" u="none" strike="noStrike" baseline="0">
            <a:solidFill>
              <a:srgbClr val="FFFFFF"/>
            </a:solidFill>
            <a:latin typeface="Arial"/>
            <a:cs typeface="Arial"/>
          </a:endParaRPr>
        </a:p>
        <a:p>
          <a:pPr algn="l" rtl="0">
            <a:defRPr sz="1000"/>
          </a:pPr>
          <a:r>
            <a:rPr lang="en-US" sz="1000" b="0" i="1" u="none" strike="noStrike" baseline="0">
              <a:solidFill>
                <a:srgbClr val="FFFFFF"/>
              </a:solidFill>
              <a:latin typeface="Arial"/>
              <a:cs typeface="Arial"/>
            </a:rPr>
            <a:t>In most cases you will not want to use the default U-Factors. Instead, contact the window manufacturer and ask for NFRC tested U-Factors for the products you will be using.</a:t>
          </a:r>
          <a:r>
            <a:rPr lang="en-US" sz="1000" b="0" i="0" u="none" strike="noStrike" baseline="0">
              <a:solidFill>
                <a:srgbClr val="FFFFFF"/>
              </a:solidFill>
              <a:latin typeface="Arial"/>
              <a:cs typeface="Arial"/>
            </a:rPr>
            <a:t>   </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Page down to unprotected white area to begin making custom component entries. </a:t>
          </a:r>
        </a:p>
        <a:p>
          <a:pPr algn="l" rtl="0">
            <a:defRPr sz="1000"/>
          </a:pPr>
          <a:r>
            <a:rPr lang="en-US" sz="1000" b="0" i="0" u="none" strike="noStrike" baseline="0">
              <a:solidFill>
                <a:srgbClr val="FFFFFF"/>
              </a:solidFill>
              <a:latin typeface="Arial"/>
              <a:cs typeface="Arial"/>
            </a:rPr>
            <a:t>Only white areas on the sheet can be edited. </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Enter component description, Reference (Manufacturer) and NFRC certified Glazing U-factor. You may be asked to provide manufacturer U-Factor data as part of your building permit application</a:t>
          </a:r>
        </a:p>
      </xdr:txBody>
    </xdr:sp>
    <xdr:clientData/>
  </xdr:twoCellAnchor>
  <xdr:twoCellAnchor>
    <xdr:from>
      <xdr:col>5</xdr:col>
      <xdr:colOff>123825</xdr:colOff>
      <xdr:row>50</xdr:row>
      <xdr:rowOff>9525</xdr:rowOff>
    </xdr:from>
    <xdr:to>
      <xdr:col>9</xdr:col>
      <xdr:colOff>257175</xdr:colOff>
      <xdr:row>59</xdr:row>
      <xdr:rowOff>0</xdr:rowOff>
    </xdr:to>
    <xdr:sp macro="" textlink="">
      <xdr:nvSpPr>
        <xdr:cNvPr id="16386" name="Text Box 2">
          <a:extLst>
            <a:ext uri="{FF2B5EF4-FFF2-40B4-BE49-F238E27FC236}">
              <a16:creationId xmlns:a16="http://schemas.microsoft.com/office/drawing/2014/main" id="{00000000-0008-0000-0500-000002400000}"/>
            </a:ext>
          </a:extLst>
        </xdr:cNvPr>
        <xdr:cNvSpPr txBox="1">
          <a:spLocks noChangeArrowheads="1"/>
        </xdr:cNvSpPr>
      </xdr:nvSpPr>
      <xdr:spPr bwMode="auto">
        <a:xfrm>
          <a:off x="4248150" y="4295775"/>
          <a:ext cx="2457450" cy="1533525"/>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FFFFFF"/>
              </a:solidFill>
              <a:latin typeface="Arial"/>
              <a:cs typeface="Arial"/>
            </a:rPr>
            <a:t>TABLE R303.1.3(1)</a:t>
          </a:r>
        </a:p>
        <a:p>
          <a:pPr algn="l" rtl="0">
            <a:defRPr sz="1000"/>
          </a:pPr>
          <a:r>
            <a:rPr lang="en-US" sz="1000" b="0" i="0" u="none" strike="noStrike" baseline="0">
              <a:solidFill>
                <a:srgbClr val="FFFFFF"/>
              </a:solidFill>
              <a:latin typeface="Arial"/>
              <a:cs typeface="Arial"/>
            </a:rPr>
            <a:t>GROUP R OCCUPANCY:</a:t>
          </a:r>
        </a:p>
        <a:p>
          <a:pPr algn="l" rtl="0">
            <a:defRPr sz="1000"/>
          </a:pPr>
          <a:r>
            <a:rPr lang="en-US" sz="1000" b="0" i="0" u="none" strike="noStrike" baseline="0">
              <a:solidFill>
                <a:srgbClr val="FFFFFF"/>
              </a:solidFill>
              <a:latin typeface="Arial"/>
              <a:cs typeface="Arial"/>
            </a:rPr>
            <a:t>DEFAULT U-FACTORS FOR VERTICAL GLAZING</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TABLE R303.1.3(5)</a:t>
          </a:r>
        </a:p>
        <a:p>
          <a:pPr algn="l" rtl="0">
            <a:defRPr sz="1000"/>
          </a:pPr>
          <a:r>
            <a:rPr lang="en-US" sz="1000" b="0" i="0" u="none" strike="noStrike" baseline="0">
              <a:solidFill>
                <a:srgbClr val="FFFFFF"/>
              </a:solidFill>
              <a:latin typeface="Arial"/>
              <a:cs typeface="Arial"/>
            </a:rPr>
            <a:t>GROUP R OCCUPANCY:</a:t>
          </a:r>
        </a:p>
        <a:p>
          <a:pPr algn="l" rtl="0">
            <a:defRPr sz="1000"/>
          </a:pPr>
          <a:r>
            <a:rPr lang="en-US" sz="1000" b="0" i="0" u="none" strike="noStrike" baseline="0">
              <a:solidFill>
                <a:srgbClr val="FFFFFF"/>
              </a:solidFill>
              <a:latin typeface="Arial"/>
              <a:cs typeface="Arial"/>
            </a:rPr>
            <a:t>SMALL BUSINESS COMPLIANCE TABLE FOR VERTICAL GLAZING</a:t>
          </a:r>
        </a:p>
        <a:p>
          <a:pPr algn="l" rtl="0">
            <a:defRPr sz="1000"/>
          </a:pPr>
          <a:endParaRPr lang="en-US" sz="1000" b="0" i="0" u="none" strike="noStrike" baseline="0">
            <a:solidFill>
              <a:srgbClr val="FFFFFF"/>
            </a:solidFill>
            <a:latin typeface="Arial"/>
            <a:cs typeface="Arial"/>
          </a:endParaRPr>
        </a:p>
        <a:p>
          <a:pPr algn="l" rtl="0">
            <a:defRPr sz="1000"/>
          </a:pPr>
          <a:endParaRPr lang="en-US" sz="1000" b="0" i="0" u="none" strike="noStrike" baseline="0">
            <a:solidFill>
              <a:srgbClr val="FFFFFF"/>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editAs="oneCell">
        <xdr:from>
          <xdr:col>3</xdr:col>
          <xdr:colOff>295275</xdr:colOff>
          <xdr:row>237</xdr:row>
          <xdr:rowOff>133350</xdr:rowOff>
        </xdr:from>
        <xdr:to>
          <xdr:col>4</xdr:col>
          <xdr:colOff>1085850</xdr:colOff>
          <xdr:row>238</xdr:row>
          <xdr:rowOff>247650</xdr:rowOff>
        </xdr:to>
        <xdr:sp macro="" textlink="">
          <xdr:nvSpPr>
            <xdr:cNvPr id="9221" name="Button 5" hidden="1">
              <a:extLst>
                <a:ext uri="{63B3BB69-23CF-44E3-9099-C40C66FF867C}">
                  <a14:compatExt spid="_x0000_s9221"/>
                </a:ext>
                <a:ext uri="{FF2B5EF4-FFF2-40B4-BE49-F238E27FC236}">
                  <a16:creationId xmlns:a16="http://schemas.microsoft.com/office/drawing/2014/main" id="{00000000-0008-0000-0600-000005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xdr:col>
      <xdr:colOff>1314450</xdr:colOff>
      <xdr:row>5</xdr:row>
      <xdr:rowOff>57150</xdr:rowOff>
    </xdr:from>
    <xdr:to>
      <xdr:col>8</xdr:col>
      <xdr:colOff>514350</xdr:colOff>
      <xdr:row>27</xdr:row>
      <xdr:rowOff>95250</xdr:rowOff>
    </xdr:to>
    <xdr:sp macro="" textlink="">
      <xdr:nvSpPr>
        <xdr:cNvPr id="17409" name="Text Box 1">
          <a:extLst>
            <a:ext uri="{FF2B5EF4-FFF2-40B4-BE49-F238E27FC236}">
              <a16:creationId xmlns:a16="http://schemas.microsoft.com/office/drawing/2014/main" id="{00000000-0008-0000-0600-000001440000}"/>
            </a:ext>
          </a:extLst>
        </xdr:cNvPr>
        <xdr:cNvSpPr txBox="1">
          <a:spLocks noChangeArrowheads="1"/>
        </xdr:cNvSpPr>
      </xdr:nvSpPr>
      <xdr:spPr bwMode="auto">
        <a:xfrm>
          <a:off x="5438775" y="571500"/>
          <a:ext cx="2457450" cy="3638550"/>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FFFFFF"/>
              </a:solidFill>
              <a:latin typeface="Arial"/>
              <a:cs typeface="Arial"/>
            </a:rPr>
            <a:t>Editing Instructions:</a:t>
          </a:r>
        </a:p>
        <a:p>
          <a:pPr algn="l" rtl="0">
            <a:defRPr sz="1000"/>
          </a:pPr>
          <a:endParaRPr lang="en-US" sz="1000" b="0" i="0" u="none" strike="noStrike" baseline="0">
            <a:solidFill>
              <a:srgbClr val="FFFFFF"/>
            </a:solidFill>
            <a:latin typeface="Arial"/>
            <a:cs typeface="Arial"/>
          </a:endParaRPr>
        </a:p>
        <a:p>
          <a:pPr algn="l" rtl="0">
            <a:defRPr sz="1000"/>
          </a:pPr>
          <a:r>
            <a:rPr lang="en-US" sz="1000" b="0" i="1" u="none" strike="noStrike" baseline="0">
              <a:solidFill>
                <a:srgbClr val="FFFFFF"/>
              </a:solidFill>
              <a:latin typeface="Arial"/>
              <a:cs typeface="Arial"/>
            </a:rPr>
            <a:t>In most cases you will not want to use the default U-Factors. Instead, contact the window manufacturer and ask for NFRC tested U-Factors for the products you will be using.</a:t>
          </a:r>
          <a:endParaRPr lang="en-US" sz="1000" b="0" i="0" u="none" strike="noStrike" baseline="0">
            <a:solidFill>
              <a:srgbClr val="FFFFFF"/>
            </a:solidFill>
            <a:latin typeface="Arial"/>
            <a:cs typeface="Arial"/>
          </a:endParaRP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Page down to white area to make custom component entries. </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Enter component description, Reference (Manufacturer) and NFRC certified </a:t>
          </a:r>
        </a:p>
        <a:p>
          <a:pPr algn="l" rtl="0">
            <a:defRPr sz="1000"/>
          </a:pPr>
          <a:r>
            <a:rPr lang="en-US" sz="1000" b="0" i="0" u="none" strike="noStrike" baseline="0">
              <a:solidFill>
                <a:srgbClr val="FFFFFF"/>
              </a:solidFill>
              <a:latin typeface="Arial"/>
              <a:cs typeface="Arial"/>
            </a:rPr>
            <a:t>Glazing U-factor. You may be asked to provide manufacturer data as part of your building permit application.</a:t>
          </a:r>
        </a:p>
      </xdr:txBody>
    </xdr:sp>
    <xdr:clientData/>
  </xdr:twoCellAnchor>
  <mc:AlternateContent xmlns:mc="http://schemas.openxmlformats.org/markup-compatibility/2006">
    <mc:Choice xmlns:a14="http://schemas.microsoft.com/office/drawing/2010/main" Requires="a14">
      <xdr:twoCellAnchor editAs="oneCell">
        <xdr:from>
          <xdr:col>2</xdr:col>
          <xdr:colOff>1028700</xdr:colOff>
          <xdr:row>104</xdr:row>
          <xdr:rowOff>38100</xdr:rowOff>
        </xdr:from>
        <xdr:to>
          <xdr:col>4</xdr:col>
          <xdr:colOff>781050</xdr:colOff>
          <xdr:row>104</xdr:row>
          <xdr:rowOff>323850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5</xdr:col>
      <xdr:colOff>333375</xdr:colOff>
      <xdr:row>4</xdr:row>
      <xdr:rowOff>0</xdr:rowOff>
    </xdr:from>
    <xdr:to>
      <xdr:col>9</xdr:col>
      <xdr:colOff>466725</xdr:colOff>
      <xdr:row>23</xdr:row>
      <xdr:rowOff>0</xdr:rowOff>
    </xdr:to>
    <xdr:sp macro="" textlink="">
      <xdr:nvSpPr>
        <xdr:cNvPr id="18433" name="Text Box 1">
          <a:extLst>
            <a:ext uri="{FF2B5EF4-FFF2-40B4-BE49-F238E27FC236}">
              <a16:creationId xmlns:a16="http://schemas.microsoft.com/office/drawing/2014/main" id="{00000000-0008-0000-0700-000001480000}"/>
            </a:ext>
          </a:extLst>
        </xdr:cNvPr>
        <xdr:cNvSpPr txBox="1">
          <a:spLocks noChangeArrowheads="1"/>
        </xdr:cNvSpPr>
      </xdr:nvSpPr>
      <xdr:spPr bwMode="auto">
        <a:xfrm>
          <a:off x="4457700" y="342900"/>
          <a:ext cx="2457450" cy="2743200"/>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FFFFFF"/>
              </a:solidFill>
              <a:latin typeface="Arial"/>
              <a:cs typeface="Arial"/>
            </a:rPr>
            <a:t>Editing Instructions:</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Page down to unprotected white areas make custom component entries.  Only white areas on the sheet can be edited. </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Enter component description, Reference (Manufacturer) and NFRC certified </a:t>
          </a:r>
        </a:p>
        <a:p>
          <a:pPr algn="l" rtl="0">
            <a:defRPr sz="1000"/>
          </a:pPr>
          <a:r>
            <a:rPr lang="en-US" sz="1000" b="0" i="0" u="none" strike="noStrike" baseline="0">
              <a:solidFill>
                <a:srgbClr val="FFFFFF"/>
              </a:solidFill>
              <a:latin typeface="Arial"/>
              <a:cs typeface="Arial"/>
            </a:rPr>
            <a:t>U-factor. You may be asked to provide manufacturer data as part of your building permit application.</a:t>
          </a:r>
        </a:p>
      </xdr:txBody>
    </xdr:sp>
    <xdr:clientData/>
  </xdr:twoCellAnchor>
  <mc:AlternateContent xmlns:mc="http://schemas.openxmlformats.org/markup-compatibility/2006">
    <mc:Choice xmlns:a14="http://schemas.microsoft.com/office/drawing/2010/main" Requires="a14">
      <xdr:twoCellAnchor editAs="oneCell">
        <xdr:from>
          <xdr:col>2</xdr:col>
          <xdr:colOff>657225</xdr:colOff>
          <xdr:row>70</xdr:row>
          <xdr:rowOff>38100</xdr:rowOff>
        </xdr:from>
        <xdr:to>
          <xdr:col>4</xdr:col>
          <xdr:colOff>752475</xdr:colOff>
          <xdr:row>70</xdr:row>
          <xdr:rowOff>323850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4</xdr:col>
      <xdr:colOff>657225</xdr:colOff>
      <xdr:row>4</xdr:row>
      <xdr:rowOff>76201</xdr:rowOff>
    </xdr:from>
    <xdr:to>
      <xdr:col>8</xdr:col>
      <xdr:colOff>180975</xdr:colOff>
      <xdr:row>44</xdr:row>
      <xdr:rowOff>76201</xdr:rowOff>
    </xdr:to>
    <xdr:sp macro="" textlink="">
      <xdr:nvSpPr>
        <xdr:cNvPr id="19457" name="Text Box 1">
          <a:extLst>
            <a:ext uri="{FF2B5EF4-FFF2-40B4-BE49-F238E27FC236}">
              <a16:creationId xmlns:a16="http://schemas.microsoft.com/office/drawing/2014/main" id="{00000000-0008-0000-0800-0000014C0000}"/>
            </a:ext>
          </a:extLst>
        </xdr:cNvPr>
        <xdr:cNvSpPr txBox="1">
          <a:spLocks noChangeArrowheads="1"/>
        </xdr:cNvSpPr>
      </xdr:nvSpPr>
      <xdr:spPr bwMode="auto">
        <a:xfrm>
          <a:off x="6591300" y="942976"/>
          <a:ext cx="2457450" cy="6000750"/>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rtl="0"/>
          <a:r>
            <a:rPr lang="en-US" sz="1100" b="0" i="0" baseline="0">
              <a:solidFill>
                <a:schemeClr val="bg1"/>
              </a:solidFill>
              <a:latin typeface="+mn-lt"/>
              <a:ea typeface="+mn-ea"/>
              <a:cs typeface="+mn-cs"/>
            </a:rPr>
            <a:t>Editing Instructions:</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Only white areas on the sheet can be edited.   Enter component description, and calculated U-factor. Submit the detailed calculations as part of the application for your building permit. </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Where proposed construction assemblies are not represented in Appendix A tables, values shall be calculated in accordance with Chapters 21-29 in Standard RS-1 listed in Chapter 5, (ASHRAE Handbook of Fundamentals) using the framing factors listed in Appendix A where applicable.</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For envelope assemblies containing metal framing, the U-factor shall be determined by one of the following methods:</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1. Results of laboratory or field measurements.</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2. Standard RS-25, listed in Chapter 5, where the metal framing is bonded on one or both sides to a metal skin or covering.</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3. The zone method as provided in Chapter 24 of Standard RS-1, listed in Chapter 5.</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4. Results of parallel path correction factors for effective framing/cavity R-values as provided in TABLE A103.3.6.1(1)</a:t>
          </a:r>
          <a:r>
            <a:rPr lang="en-US" sz="1100" b="1" baseline="0">
              <a:solidFill>
                <a:schemeClr val="bg1"/>
              </a:solidFill>
              <a:latin typeface="+mn-lt"/>
              <a:ea typeface="+mn-ea"/>
              <a:cs typeface="+mn-cs"/>
            </a:rPr>
            <a:t> </a:t>
          </a:r>
          <a:r>
            <a:rPr lang="en-US" sz="1100" b="0" i="0" baseline="0">
              <a:solidFill>
                <a:schemeClr val="bg1"/>
              </a:solidFill>
              <a:latin typeface="+mn-lt"/>
              <a:ea typeface="+mn-ea"/>
              <a:cs typeface="+mn-cs"/>
            </a:rPr>
            <a:t>: Effective R-Values for Metal Framing and Cavity Only for metal stud walls and roof/ceilings.</a:t>
          </a:r>
          <a:endParaRPr lang="en-US" sz="1100">
            <a:solidFill>
              <a:schemeClr val="bg1"/>
            </a:solidFill>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2</xdr:col>
          <xdr:colOff>819150</xdr:colOff>
          <xdr:row>338</xdr:row>
          <xdr:rowOff>104775</xdr:rowOff>
        </xdr:from>
        <xdr:to>
          <xdr:col>4</xdr:col>
          <xdr:colOff>552450</xdr:colOff>
          <xdr:row>338</xdr:row>
          <xdr:rowOff>390525</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900-000001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533400</xdr:colOff>
      <xdr:row>3</xdr:row>
      <xdr:rowOff>114300</xdr:rowOff>
    </xdr:from>
    <xdr:to>
      <xdr:col>10</xdr:col>
      <xdr:colOff>85725</xdr:colOff>
      <xdr:row>52</xdr:row>
      <xdr:rowOff>85725</xdr:rowOff>
    </xdr:to>
    <xdr:sp macro="" textlink="">
      <xdr:nvSpPr>
        <xdr:cNvPr id="21505" name="Text Box 1">
          <a:extLst>
            <a:ext uri="{FF2B5EF4-FFF2-40B4-BE49-F238E27FC236}">
              <a16:creationId xmlns:a16="http://schemas.microsoft.com/office/drawing/2014/main" id="{00000000-0008-0000-0900-000001540000}"/>
            </a:ext>
          </a:extLst>
        </xdr:cNvPr>
        <xdr:cNvSpPr txBox="1">
          <a:spLocks noChangeArrowheads="1"/>
        </xdr:cNvSpPr>
      </xdr:nvSpPr>
      <xdr:spPr bwMode="auto">
        <a:xfrm>
          <a:off x="7362825" y="809625"/>
          <a:ext cx="2457450" cy="7343775"/>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rtl="0"/>
          <a:r>
            <a:rPr lang="en-US" sz="1100" b="0" i="0" baseline="0">
              <a:solidFill>
                <a:schemeClr val="bg1"/>
              </a:solidFill>
              <a:latin typeface="+mn-lt"/>
              <a:ea typeface="+mn-ea"/>
              <a:cs typeface="+mn-cs"/>
            </a:rPr>
            <a:t>Editing Instructions:</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Only white areas on the sheet can be edited.  Enter component description, and calculated U-factor. Submit the detailed calculations as part of the application for your building permit. </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Where proposed construction assemblies are not represented in Appendix A tables, values shall be calculated in accordance with Chapters 21-29 in Standard RS-1 listed in Chapter 5, (ASHRAE Handbook of Fundamentals) using the framing factors listed in Appendix A where applicable.</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For envelope assemblies containing metal framing, the U-factor shall be determined by one of the following methods:</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1. Results of laboratory or field measurements.</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2. Standard RS-25, listed in Chapter 5, where the metal framing is bonded on one or both sides to a metal skin or covering.</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3. The zone method as provided in Chapter 24 of Standard RS-1, listed in Chapter 5.</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4. Results of parallel path correction factors for effective framing/cavity R-values as provided in TABLE A103.3.6.1(1)</a:t>
          </a:r>
          <a:r>
            <a:rPr lang="en-US" sz="1100" b="1" baseline="0">
              <a:solidFill>
                <a:schemeClr val="bg1"/>
              </a:solidFill>
              <a:latin typeface="+mn-lt"/>
              <a:ea typeface="+mn-ea"/>
              <a:cs typeface="+mn-cs"/>
            </a:rPr>
            <a:t> </a:t>
          </a:r>
          <a:r>
            <a:rPr lang="en-US" sz="1100" b="0" i="0" baseline="0">
              <a:solidFill>
                <a:schemeClr val="bg1"/>
              </a:solidFill>
              <a:latin typeface="+mn-lt"/>
              <a:ea typeface="+mn-ea"/>
              <a:cs typeface="+mn-cs"/>
            </a:rPr>
            <a:t>: Effective R-Values for Metal Framing and Cavity Only for metal stud walls and roof/ceilings.</a:t>
          </a:r>
          <a:endParaRPr lang="en-US" sz="1100">
            <a:solidFill>
              <a:schemeClr val="bg1"/>
            </a:solidFill>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2</xdr:col>
          <xdr:colOff>561975</xdr:colOff>
          <xdr:row>933</xdr:row>
          <xdr:rowOff>9525</xdr:rowOff>
        </xdr:from>
        <xdr:to>
          <xdr:col>4</xdr:col>
          <xdr:colOff>333375</xdr:colOff>
          <xdr:row>933</xdr:row>
          <xdr:rowOff>295275</xdr:rowOff>
        </xdr:to>
        <xdr:sp macro="" textlink="">
          <xdr:nvSpPr>
            <xdr:cNvPr id="13313" name="Button 1" hidden="1">
              <a:extLst>
                <a:ext uri="{63B3BB69-23CF-44E3-9099-C40C66FF867C}">
                  <a14:compatExt spid="_x0000_s13313"/>
                </a:ext>
                <a:ext uri="{FF2B5EF4-FFF2-40B4-BE49-F238E27FC236}">
                  <a16:creationId xmlns:a16="http://schemas.microsoft.com/office/drawing/2014/main" id="{00000000-0008-0000-0A00-0000013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twoCellAnchor editAs="oneCell">
    <xdr:from>
      <xdr:col>5</xdr:col>
      <xdr:colOff>571500</xdr:colOff>
      <xdr:row>676</xdr:row>
      <xdr:rowOff>104775</xdr:rowOff>
    </xdr:from>
    <xdr:to>
      <xdr:col>16</xdr:col>
      <xdr:colOff>190500</xdr:colOff>
      <xdr:row>701</xdr:row>
      <xdr:rowOff>123825</xdr:rowOff>
    </xdr:to>
    <xdr:pic>
      <xdr:nvPicPr>
        <xdr:cNvPr id="4" name="Picture 3">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00925" y="113785650"/>
          <a:ext cx="6010275" cy="430530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xdr:from>
      <xdr:col>5</xdr:col>
      <xdr:colOff>447675</xdr:colOff>
      <xdr:row>2</xdr:row>
      <xdr:rowOff>123826</xdr:rowOff>
    </xdr:from>
    <xdr:to>
      <xdr:col>10</xdr:col>
      <xdr:colOff>0</xdr:colOff>
      <xdr:row>39</xdr:row>
      <xdr:rowOff>142876</xdr:rowOff>
    </xdr:to>
    <xdr:sp macro="" textlink="">
      <xdr:nvSpPr>
        <xdr:cNvPr id="22529" name="Text Box 1">
          <a:extLst>
            <a:ext uri="{FF2B5EF4-FFF2-40B4-BE49-F238E27FC236}">
              <a16:creationId xmlns:a16="http://schemas.microsoft.com/office/drawing/2014/main" id="{00000000-0008-0000-0A00-000001580000}"/>
            </a:ext>
          </a:extLst>
        </xdr:cNvPr>
        <xdr:cNvSpPr txBox="1">
          <a:spLocks noChangeArrowheads="1"/>
        </xdr:cNvSpPr>
      </xdr:nvSpPr>
      <xdr:spPr bwMode="auto">
        <a:xfrm>
          <a:off x="7296150" y="619126"/>
          <a:ext cx="2457450" cy="6019800"/>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rtl="0"/>
          <a:r>
            <a:rPr lang="en-US" sz="1100" b="0" i="0" baseline="0">
              <a:solidFill>
                <a:schemeClr val="bg1"/>
              </a:solidFill>
              <a:latin typeface="+mn-lt"/>
              <a:ea typeface="+mn-ea"/>
              <a:cs typeface="+mn-cs"/>
            </a:rPr>
            <a:t>Editing Instructions:</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Only white areas on the sheet can be edited.   Enter component description, and calculated U-factor. Submit the detailed calculations as part of the application for your building permit. </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Where proposed construction assemblies are not represented in Appendix A tables, values shall be calculated in accordance with Chapters 21-29 in Standard RS-1 listed in Chapter 5, (ASHRAE Handbook of Fundamentals) using the framing factors listed in Appendix A where applicable.</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For envelope assemblies containing metal framing, the U-factor shall be determined by one of the following methods:</a:t>
          </a:r>
          <a:endParaRPr lang="en-US" sz="1100">
            <a:solidFill>
              <a:schemeClr val="bg1"/>
            </a:solidFill>
            <a:latin typeface="+mn-lt"/>
            <a:ea typeface="+mn-ea"/>
            <a:cs typeface="+mn-cs"/>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1. Results of laboratory or field measurements.</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2. Standard RS-25, listed in Chapter 5, where the metal framing is bonded on one or both sides to a metal skin or covering.</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3. The zone method as provided in Chapter 24 of Standard RS-1, listed in Chapter 5.</a:t>
          </a:r>
          <a:endParaRPr lang="en-US" sz="1100">
            <a:solidFill>
              <a:schemeClr val="bg1"/>
            </a:solidFill>
            <a:latin typeface="+mn-lt"/>
            <a:ea typeface="+mn-ea"/>
            <a:cs typeface="+mn-cs"/>
          </a:endParaRPr>
        </a:p>
        <a:p>
          <a:pPr rtl="0"/>
          <a:r>
            <a:rPr lang="en-US" sz="1100" b="0" i="0" baseline="0">
              <a:solidFill>
                <a:schemeClr val="bg1"/>
              </a:solidFill>
              <a:latin typeface="+mn-lt"/>
              <a:ea typeface="+mn-ea"/>
              <a:cs typeface="+mn-cs"/>
            </a:rPr>
            <a:t>4. Results of parallel path correction factors for effective framing/cavity R-values as provided in TABLE A103.3.6.1(1)</a:t>
          </a:r>
          <a:r>
            <a:rPr lang="en-US" sz="1100" b="1" baseline="0">
              <a:solidFill>
                <a:schemeClr val="bg1"/>
              </a:solidFill>
              <a:latin typeface="+mn-lt"/>
              <a:ea typeface="+mn-ea"/>
              <a:cs typeface="+mn-cs"/>
            </a:rPr>
            <a:t> </a:t>
          </a:r>
          <a:r>
            <a:rPr lang="en-US" sz="1100" b="0" i="0" baseline="0">
              <a:solidFill>
                <a:schemeClr val="bg1"/>
              </a:solidFill>
              <a:latin typeface="+mn-lt"/>
              <a:ea typeface="+mn-ea"/>
              <a:cs typeface="+mn-cs"/>
            </a:rPr>
            <a:t>: Effective R-Values for Metal Framing and Cavity Only for metal stud walls and roof/ceilings.</a:t>
          </a:r>
          <a:endParaRPr lang="en-US" sz="1100">
            <a:solidFill>
              <a:schemeClr val="bg1"/>
            </a:solidFill>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3</xdr:col>
          <xdr:colOff>114300</xdr:colOff>
          <xdr:row>76</xdr:row>
          <xdr:rowOff>19050</xdr:rowOff>
        </xdr:from>
        <xdr:to>
          <xdr:col>4</xdr:col>
          <xdr:colOff>904875</xdr:colOff>
          <xdr:row>76</xdr:row>
          <xdr:rowOff>304800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B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4</xdr:col>
      <xdr:colOff>1323975</xdr:colOff>
      <xdr:row>5</xdr:row>
      <xdr:rowOff>9525</xdr:rowOff>
    </xdr:from>
    <xdr:to>
      <xdr:col>9</xdr:col>
      <xdr:colOff>76200</xdr:colOff>
      <xdr:row>45</xdr:row>
      <xdr:rowOff>38100</xdr:rowOff>
    </xdr:to>
    <xdr:sp macro="" textlink="">
      <xdr:nvSpPr>
        <xdr:cNvPr id="23553" name="Text Box 1">
          <a:extLst>
            <a:ext uri="{FF2B5EF4-FFF2-40B4-BE49-F238E27FC236}">
              <a16:creationId xmlns:a16="http://schemas.microsoft.com/office/drawing/2014/main" id="{00000000-0008-0000-0B00-0000015C0000}"/>
            </a:ext>
          </a:extLst>
        </xdr:cNvPr>
        <xdr:cNvSpPr txBox="1">
          <a:spLocks noChangeArrowheads="1"/>
        </xdr:cNvSpPr>
      </xdr:nvSpPr>
      <xdr:spPr bwMode="auto">
        <a:xfrm>
          <a:off x="6829425" y="1047750"/>
          <a:ext cx="3209925" cy="4829175"/>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rtl="0"/>
          <a:r>
            <a:rPr lang="en-US" sz="1100" b="0" i="0" baseline="0">
              <a:solidFill>
                <a:schemeClr val="bg1"/>
              </a:solidFill>
              <a:latin typeface="+mn-lt"/>
              <a:ea typeface="+mn-ea"/>
              <a:cs typeface="+mn-cs"/>
            </a:rPr>
            <a:t>Editing Instructions:</a:t>
          </a:r>
          <a:endParaRPr lang="en-US" sz="1000">
            <a:solidFill>
              <a:schemeClr val="bg1"/>
            </a:solidFill>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Only white areas on the sheet can be edited. Enter component description, and calculated U-factor. Submit the detailed calculations as part of the application for your building permit. </a:t>
          </a:r>
          <a:endParaRPr lang="en-US" sz="1000">
            <a:solidFill>
              <a:schemeClr val="bg1"/>
            </a:solidFill>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Where proposed construction assemblies are not represented in Appendix A tables, values shall be calculated in accordance with Chapters 21-29 in Standard RS-1 listed in Chapter 5, (ASHRAE Handbook of Fundamentals) using the framing factors listed in Appendix A where applicable.</a:t>
          </a:r>
          <a:endParaRPr lang="en-US" sz="1000">
            <a:solidFill>
              <a:schemeClr val="bg1"/>
            </a:solidFill>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For envelope assemblies containing metal framing, the U-factor shall be determined by one of the following methods:</a:t>
          </a:r>
          <a:endParaRPr lang="en-US" sz="1000">
            <a:solidFill>
              <a:schemeClr val="bg1"/>
            </a:solidFill>
          </a:endParaRPr>
        </a:p>
        <a:p>
          <a:pPr rtl="0" fontAlgn="base"/>
          <a:endParaRPr lang="en-US" sz="1100" b="0" i="0" baseline="0">
            <a:solidFill>
              <a:schemeClr val="bg1"/>
            </a:solidFill>
            <a:latin typeface="+mn-lt"/>
            <a:ea typeface="+mn-ea"/>
            <a:cs typeface="+mn-cs"/>
          </a:endParaRPr>
        </a:p>
        <a:p>
          <a:pPr rtl="0"/>
          <a:r>
            <a:rPr lang="en-US" sz="1100" b="0" i="0" baseline="0">
              <a:solidFill>
                <a:schemeClr val="bg1"/>
              </a:solidFill>
              <a:latin typeface="+mn-lt"/>
              <a:ea typeface="+mn-ea"/>
              <a:cs typeface="+mn-cs"/>
            </a:rPr>
            <a:t>1. Results of laboratory or field measurements.</a:t>
          </a:r>
          <a:endParaRPr lang="en-US" sz="1000">
            <a:solidFill>
              <a:schemeClr val="bg1"/>
            </a:solidFill>
          </a:endParaRPr>
        </a:p>
        <a:p>
          <a:pPr rtl="0"/>
          <a:r>
            <a:rPr lang="en-US" sz="1100" b="0" i="0" baseline="0">
              <a:solidFill>
                <a:schemeClr val="bg1"/>
              </a:solidFill>
              <a:latin typeface="+mn-lt"/>
              <a:ea typeface="+mn-ea"/>
              <a:cs typeface="+mn-cs"/>
            </a:rPr>
            <a:t>2. Standard RS-25, listed in Chapter 5, where the metal framing is bonded on one or both sides to a metal skin or covering.</a:t>
          </a:r>
          <a:endParaRPr lang="en-US" sz="1000">
            <a:solidFill>
              <a:schemeClr val="bg1"/>
            </a:solidFill>
          </a:endParaRPr>
        </a:p>
        <a:p>
          <a:pPr rtl="0"/>
          <a:r>
            <a:rPr lang="en-US" sz="1100" b="0" i="0" baseline="0">
              <a:solidFill>
                <a:schemeClr val="bg1"/>
              </a:solidFill>
              <a:latin typeface="+mn-lt"/>
              <a:ea typeface="+mn-ea"/>
              <a:cs typeface="+mn-cs"/>
            </a:rPr>
            <a:t>3. The zone method as provided in Chapter 24 of Standard RS-1, listed in Chapter 5.</a:t>
          </a:r>
          <a:endParaRPr lang="en-US" sz="1000">
            <a:solidFill>
              <a:schemeClr val="bg1"/>
            </a:solidFill>
          </a:endParaRPr>
        </a:p>
        <a:p>
          <a:pPr rtl="0"/>
          <a:r>
            <a:rPr lang="en-US" sz="1100" b="0" i="0" baseline="0">
              <a:solidFill>
                <a:schemeClr val="bg1"/>
              </a:solidFill>
              <a:latin typeface="+mn-lt"/>
              <a:ea typeface="+mn-ea"/>
              <a:cs typeface="+mn-cs"/>
            </a:rPr>
            <a:t>4. Results of parallel path correction factors for effective framing/cavity R-values as provided in TABLE A103.3.6.1(1)</a:t>
          </a:r>
          <a:r>
            <a:rPr lang="en-US" sz="1100" b="1" baseline="0">
              <a:solidFill>
                <a:schemeClr val="bg1"/>
              </a:solidFill>
              <a:latin typeface="+mn-lt"/>
              <a:ea typeface="+mn-ea"/>
              <a:cs typeface="+mn-cs"/>
            </a:rPr>
            <a:t> </a:t>
          </a:r>
          <a:r>
            <a:rPr lang="en-US" sz="1100" b="0" i="0" baseline="0">
              <a:solidFill>
                <a:schemeClr val="bg1"/>
              </a:solidFill>
              <a:latin typeface="+mn-lt"/>
              <a:ea typeface="+mn-ea"/>
              <a:cs typeface="+mn-cs"/>
            </a:rPr>
            <a:t>: Effective R-Values for Metal Framing and Cavity Only for metal stud walls and roof/ceilings.</a:t>
          </a:r>
          <a:endParaRPr lang="en-US" sz="100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0</xdr:colOff>
          <xdr:row>77</xdr:row>
          <xdr:rowOff>161925</xdr:rowOff>
        </xdr:from>
        <xdr:to>
          <xdr:col>4</xdr:col>
          <xdr:colOff>790575</xdr:colOff>
          <xdr:row>78</xdr:row>
          <xdr:rowOff>276225</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C00-000001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twoCellAnchor editAs="oneCell">
    <xdr:from>
      <xdr:col>10</xdr:col>
      <xdr:colOff>0</xdr:colOff>
      <xdr:row>5</xdr:row>
      <xdr:rowOff>0</xdr:rowOff>
    </xdr:from>
    <xdr:to>
      <xdr:col>23</xdr:col>
      <xdr:colOff>285750</xdr:colOff>
      <xdr:row>45</xdr:row>
      <xdr:rowOff>76200</xdr:rowOff>
    </xdr:to>
    <xdr:pic>
      <xdr:nvPicPr>
        <xdr:cNvPr id="6" name="Picture 5">
          <a:extLst>
            <a:ext uri="{FF2B5EF4-FFF2-40B4-BE49-F238E27FC236}">
              <a16:creationId xmlns:a16="http://schemas.microsoft.com/office/drawing/2014/main" id="{00000000-0008-0000-0C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58525" y="1038225"/>
          <a:ext cx="8477250" cy="693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514350</xdr:colOff>
      <xdr:row>82</xdr:row>
      <xdr:rowOff>66675</xdr:rowOff>
    </xdr:from>
    <xdr:to>
      <xdr:col>18</xdr:col>
      <xdr:colOff>135118</xdr:colOff>
      <xdr:row>107</xdr:row>
      <xdr:rowOff>108960</xdr:rowOff>
    </xdr:to>
    <xdr:pic>
      <xdr:nvPicPr>
        <xdr:cNvPr id="4" name="Picture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2"/>
        <a:stretch>
          <a:fillRect/>
        </a:stretch>
      </xdr:blipFill>
      <xdr:spPr>
        <a:xfrm>
          <a:off x="9315450" y="13916025"/>
          <a:ext cx="7212193" cy="432853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8</xdr:col>
      <xdr:colOff>209550</xdr:colOff>
      <xdr:row>3</xdr:row>
      <xdr:rowOff>19050</xdr:rowOff>
    </xdr:from>
    <xdr:to>
      <xdr:col>12</xdr:col>
      <xdr:colOff>342900</xdr:colOff>
      <xdr:row>60</xdr:row>
      <xdr:rowOff>28575</xdr:rowOff>
    </xdr:to>
    <xdr:sp macro="" textlink="">
      <xdr:nvSpPr>
        <xdr:cNvPr id="24577" name="Text Box 1">
          <a:extLst>
            <a:ext uri="{FF2B5EF4-FFF2-40B4-BE49-F238E27FC236}">
              <a16:creationId xmlns:a16="http://schemas.microsoft.com/office/drawing/2014/main" id="{00000000-0008-0000-0C00-000001600000}"/>
            </a:ext>
          </a:extLst>
        </xdr:cNvPr>
        <xdr:cNvSpPr txBox="1">
          <a:spLocks noChangeArrowheads="1"/>
        </xdr:cNvSpPr>
      </xdr:nvSpPr>
      <xdr:spPr bwMode="auto">
        <a:xfrm>
          <a:off x="8191500" y="666750"/>
          <a:ext cx="2457450" cy="5838825"/>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FFFFFF"/>
              </a:solidFill>
              <a:latin typeface="Arial"/>
              <a:cs typeface="Arial"/>
            </a:rPr>
            <a:t>Editing Instructions:</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Only white areas on the sheet can be edited. Do not delete rows, columns or cells. This will disrupt the indexing reference to the companion worksheet. </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Enter component description, and calculated U-factor. Submit the detailed calculations as part of the application for your building permit. </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Where proposed construction assemblies are not represented in Appendix A tables, values shall be calculated in accordance with Chapters 21-29 in Standard RS-1 listed in Chapter 5, (ASHRAE Handbook of Fundamentals) using the framing factors listed in Appendix A where applicable.</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For envelope assemblies containing metal framing, the U-factor shall be determined by one of the following methods:</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1. Results of laboratory or field measurements.</a:t>
          </a:r>
        </a:p>
        <a:p>
          <a:pPr algn="l" rtl="0">
            <a:defRPr sz="1000"/>
          </a:pPr>
          <a:r>
            <a:rPr lang="en-US" sz="1000" b="0" i="0" u="none" strike="noStrike" baseline="0">
              <a:solidFill>
                <a:srgbClr val="FFFFFF"/>
              </a:solidFill>
              <a:latin typeface="Arial"/>
              <a:cs typeface="Arial"/>
            </a:rPr>
            <a:t>2. Standard RS-25, listed in Chapter 5, where the metal framing is bonded on one or both sides to a metal skin or covering.</a:t>
          </a:r>
        </a:p>
        <a:p>
          <a:pPr algn="l" rtl="0">
            <a:defRPr sz="1000"/>
          </a:pPr>
          <a:r>
            <a:rPr lang="en-US" sz="1000" b="0" i="0" u="none" strike="noStrike" baseline="0">
              <a:solidFill>
                <a:srgbClr val="FFFFFF"/>
              </a:solidFill>
              <a:latin typeface="Arial"/>
              <a:cs typeface="Arial"/>
            </a:rPr>
            <a:t>3. The zone method as provided in Chapter 24 of Standard RS-1, listed in Chapter 5.</a:t>
          </a:r>
        </a:p>
        <a:p>
          <a:pPr algn="l" rtl="0">
            <a:defRPr sz="1000"/>
          </a:pPr>
          <a:r>
            <a:rPr lang="en-US" sz="1000" b="0" i="0" u="none" strike="noStrike" baseline="0">
              <a:solidFill>
                <a:srgbClr val="FFFFFF"/>
              </a:solidFill>
              <a:latin typeface="Arial"/>
              <a:cs typeface="Arial"/>
            </a:rPr>
            <a:t>4. Results of parallel path correction factors for effective framing/cavity R-values as provided in </a:t>
          </a:r>
          <a:r>
            <a:rPr lang="en-US" sz="1000" b="0" i="0" u="none" strike="noStrike" baseline="0">
              <a:solidFill>
                <a:srgbClr val="FFFFFF"/>
              </a:solidFill>
              <a:latin typeface="Arial"/>
              <a:ea typeface="+mn-ea"/>
              <a:cs typeface="Arial"/>
            </a:rPr>
            <a:t>TABLE A103.3.6.1(1)</a:t>
          </a:r>
          <a:r>
            <a:rPr lang="en-US" sz="1000" b="1" baseline="0">
              <a:latin typeface="+mn-lt"/>
              <a:ea typeface="+mn-ea"/>
              <a:cs typeface="+mn-cs"/>
            </a:rPr>
            <a:t> </a:t>
          </a:r>
          <a:r>
            <a:rPr lang="en-US" sz="1000" b="0" i="0" u="none" strike="noStrike" baseline="0">
              <a:solidFill>
                <a:srgbClr val="FFFFFF"/>
              </a:solidFill>
              <a:latin typeface="Arial"/>
              <a:cs typeface="Arial"/>
            </a:rPr>
            <a:t>: Effective R-Values for Metal Framing and Cavity Only for metal stud walls and roof/ceilings.</a:t>
          </a:r>
        </a:p>
      </xdr:txBody>
    </xdr:sp>
    <xdr:clientData/>
  </xdr:twoCellAnchor>
  <mc:AlternateContent xmlns:mc="http://schemas.openxmlformats.org/markup-compatibility/2006">
    <mc:Choice xmlns:a14="http://schemas.microsoft.com/office/drawing/2010/main" Requires="a14">
      <xdr:twoCellAnchor editAs="oneCell">
        <xdr:from>
          <xdr:col>4</xdr:col>
          <xdr:colOff>47625</xdr:colOff>
          <xdr:row>118</xdr:row>
          <xdr:rowOff>66675</xdr:rowOff>
        </xdr:from>
        <xdr:to>
          <xdr:col>5</xdr:col>
          <xdr:colOff>723900</xdr:colOff>
          <xdr:row>118</xdr:row>
          <xdr:rowOff>352425</xdr:rowOff>
        </xdr:to>
        <xdr:sp macro="" textlink="">
          <xdr:nvSpPr>
            <xdr:cNvPr id="16385" name="Button 1" hidden="1">
              <a:extLst>
                <a:ext uri="{63B3BB69-23CF-44E3-9099-C40C66FF867C}">
                  <a14:compatExt spid="_x0000_s16385"/>
                </a:ext>
                <a:ext uri="{FF2B5EF4-FFF2-40B4-BE49-F238E27FC236}">
                  <a16:creationId xmlns:a16="http://schemas.microsoft.com/office/drawing/2014/main" id="{00000000-0008-0000-0D00-0000014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sng" strike="noStrike" baseline="0">
                  <a:solidFill>
                    <a:srgbClr val="0000FF"/>
                  </a:solidFill>
                  <a:latin typeface="Arial"/>
                  <a:cs typeface="Arial"/>
                </a:rPr>
                <a:t>Return to Input</a:t>
              </a:r>
            </a:p>
          </xdr:txBody>
        </xdr:sp>
        <xdr:clientData fPrintsWithSheet="0"/>
      </xdr:twoCellAnchor>
    </mc:Choice>
    <mc:Fallback/>
  </mc:AlternateContent>
  <xdr:twoCellAnchor editAs="oneCell">
    <xdr:from>
      <xdr:col>20</xdr:col>
      <xdr:colOff>76201</xdr:colOff>
      <xdr:row>7</xdr:row>
      <xdr:rowOff>85725</xdr:rowOff>
    </xdr:from>
    <xdr:to>
      <xdr:col>34</xdr:col>
      <xdr:colOff>524999</xdr:colOff>
      <xdr:row>40</xdr:row>
      <xdr:rowOff>114300</xdr:rowOff>
    </xdr:to>
    <xdr:pic>
      <xdr:nvPicPr>
        <xdr:cNvPr id="4" name="Picture 3">
          <a:extLst>
            <a:ext uri="{FF2B5EF4-FFF2-40B4-BE49-F238E27FC236}">
              <a16:creationId xmlns:a16="http://schemas.microsoft.com/office/drawing/2014/main" id="{00000000-0008-0000-0C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30451" y="1419225"/>
          <a:ext cx="8583148" cy="5686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495300</xdr:colOff>
      <xdr:row>7</xdr:row>
      <xdr:rowOff>114300</xdr:rowOff>
    </xdr:from>
    <xdr:to>
      <xdr:col>20</xdr:col>
      <xdr:colOff>47625</xdr:colOff>
      <xdr:row>39</xdr:row>
      <xdr:rowOff>151082</xdr:rowOff>
    </xdr:to>
    <xdr:pic>
      <xdr:nvPicPr>
        <xdr:cNvPr id="5" name="Picture 4">
          <a:extLst>
            <a:ext uri="{FF2B5EF4-FFF2-40B4-BE49-F238E27FC236}">
              <a16:creationId xmlns:a16="http://schemas.microsoft.com/office/drawing/2014/main" id="{00000000-0008-0000-0C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01350" y="1447800"/>
          <a:ext cx="4200525" cy="55231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133350</xdr:colOff>
      <xdr:row>6</xdr:row>
      <xdr:rowOff>47625</xdr:rowOff>
    </xdr:from>
    <xdr:to>
      <xdr:col>8</xdr:col>
      <xdr:colOff>266700</xdr:colOff>
      <xdr:row>10</xdr:row>
      <xdr:rowOff>57150</xdr:rowOff>
    </xdr:to>
    <xdr:sp macro="" textlink="">
      <xdr:nvSpPr>
        <xdr:cNvPr id="25601" name="Text Box 1">
          <a:extLst>
            <a:ext uri="{FF2B5EF4-FFF2-40B4-BE49-F238E27FC236}">
              <a16:creationId xmlns:a16="http://schemas.microsoft.com/office/drawing/2014/main" id="{00000000-0008-0000-0E00-000001640000}"/>
            </a:ext>
          </a:extLst>
        </xdr:cNvPr>
        <xdr:cNvSpPr txBox="1">
          <a:spLocks noChangeArrowheads="1"/>
        </xdr:cNvSpPr>
      </xdr:nvSpPr>
      <xdr:spPr bwMode="auto">
        <a:xfrm>
          <a:off x="4257675" y="733425"/>
          <a:ext cx="2457450" cy="695325"/>
        </a:xfrm>
        <a:prstGeom prst="rect">
          <a:avLst/>
        </a:prstGeom>
        <a:solidFill>
          <a:srgbClr val="333399"/>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FFFFFF"/>
              </a:solidFill>
              <a:latin typeface="Arial"/>
              <a:cs typeface="Arial"/>
            </a:rPr>
            <a:t>Editing Instructions:</a:t>
          </a:r>
        </a:p>
        <a:p>
          <a:pPr algn="l" rtl="0">
            <a:defRPr sz="1000"/>
          </a:pPr>
          <a:endParaRPr lang="en-US" sz="1000" b="0" i="0" u="none" strike="noStrike" baseline="0">
            <a:solidFill>
              <a:srgbClr val="FFFFFF"/>
            </a:solidFill>
            <a:latin typeface="Arial"/>
            <a:cs typeface="Arial"/>
          </a:endParaRPr>
        </a:p>
        <a:p>
          <a:pPr algn="l" rtl="0">
            <a:defRPr sz="1000"/>
          </a:pPr>
          <a:r>
            <a:rPr lang="en-US" sz="1000" b="0" i="0" u="none" strike="noStrike" baseline="0">
              <a:solidFill>
                <a:srgbClr val="FFFFFF"/>
              </a:solidFill>
              <a:latin typeface="Arial"/>
              <a:cs typeface="Arial"/>
            </a:rPr>
            <a:t>This sheet should not be changed. </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1457325</xdr:colOff>
          <xdr:row>14</xdr:row>
          <xdr:rowOff>161925</xdr:rowOff>
        </xdr:from>
        <xdr:to>
          <xdr:col>1</xdr:col>
          <xdr:colOff>4524375</xdr:colOff>
          <xdr:row>17</xdr:row>
          <xdr:rowOff>47625</xdr:rowOff>
        </xdr:to>
        <xdr:sp macro="" textlink="">
          <xdr:nvSpPr>
            <xdr:cNvPr id="22529" name="ProtectToggle" hidden="1">
              <a:extLst>
                <a:ext uri="{63B3BB69-23CF-44E3-9099-C40C66FF867C}">
                  <a14:compatExt spid="_x0000_s22529"/>
                </a:ext>
                <a:ext uri="{FF2B5EF4-FFF2-40B4-BE49-F238E27FC236}">
                  <a16:creationId xmlns:a16="http://schemas.microsoft.com/office/drawing/2014/main" id="{00000000-0008-0000-1100-000001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1" i="0" u="none" strike="noStrike" baseline="0">
                  <a:solidFill>
                    <a:srgbClr val="000000"/>
                  </a:solidFill>
                  <a:latin typeface="Calibri"/>
                  <a:ea typeface="Calibri"/>
                  <a:cs typeface="Calibri"/>
                </a:rPr>
                <a:t>Review &amp; Accept Terms of Use</a:t>
              </a:r>
            </a:p>
          </xdr:txBody>
        </xdr:sp>
        <xdr:clientData fLocksWithSheet="0"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NEEA\2019_Washington_Residential_Code_Support_51002\data_and_analysis\input\code_input_databas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ors"/>
      <sheetName val="table_of_contents"/>
      <sheetName val="rescheck"/>
      <sheetName val="counties"/>
      <sheetName val="codes"/>
      <sheetName val="codes_qc"/>
      <sheetName val="options"/>
      <sheetName val="options_qc"/>
      <sheetName val="prototypes"/>
      <sheetName val="baseequip"/>
      <sheetName val="equipstds"/>
      <sheetName val="constants"/>
      <sheetName val="costs"/>
      <sheetName val="wt_climate"/>
      <sheetName val="wt_sfmf"/>
      <sheetName val="wt_prototype"/>
      <sheetName val="wt_hvac"/>
      <sheetName val="code_relations"/>
      <sheetName val="excel_lookups"/>
      <sheetName val="routines_to_write"/>
    </sheetNames>
    <sheetDataSet>
      <sheetData sheetId="0" refreshError="1"/>
      <sheetData sheetId="1" refreshError="1"/>
      <sheetData sheetId="2" refreshError="1"/>
      <sheetData sheetId="3" refreshError="1"/>
      <sheetData sheetId="4" refreshError="1">
        <row r="1">
          <cell r="BB1" t="str">
            <v>codes_lookup</v>
          </cell>
        </row>
        <row r="2">
          <cell r="BB2" t="str">
            <v>iecc2006 zone 4C</v>
          </cell>
        </row>
        <row r="3">
          <cell r="BB3" t="str">
            <v>iecc2006 zone 5B</v>
          </cell>
        </row>
        <row r="4">
          <cell r="BB4" t="str">
            <v>iecc2006 zone 6B</v>
          </cell>
        </row>
        <row r="5">
          <cell r="BB5" t="str">
            <v>iecc2009 zone 4C</v>
          </cell>
        </row>
        <row r="6">
          <cell r="BB6" t="str">
            <v>iecc2009 zone 5B</v>
          </cell>
        </row>
        <row r="7">
          <cell r="BB7" t="str">
            <v>iecc2009 zone 6B</v>
          </cell>
        </row>
        <row r="8">
          <cell r="BB8" t="str">
            <v>iecc2012 zone 4C</v>
          </cell>
        </row>
        <row r="9">
          <cell r="BB9" t="str">
            <v>iecc2012 zone 5B</v>
          </cell>
        </row>
        <row r="10">
          <cell r="BB10" t="str">
            <v>iecc2012 zone 6B</v>
          </cell>
        </row>
        <row r="11">
          <cell r="BB11" t="str">
            <v>iecc2015 zone 4C</v>
          </cell>
        </row>
        <row r="12">
          <cell r="BB12" t="str">
            <v>iecc2015 zone 5B</v>
          </cell>
        </row>
        <row r="13">
          <cell r="BB13" t="str">
            <v>iecc2015 zone 6B</v>
          </cell>
        </row>
        <row r="14">
          <cell r="BB14" t="str">
            <v>iecc2018 zone 4C</v>
          </cell>
        </row>
        <row r="15">
          <cell r="BB15" t="str">
            <v>iecc2018 zone 5B</v>
          </cell>
        </row>
        <row r="16">
          <cell r="BB16" t="str">
            <v>iecc2018 zone 6B</v>
          </cell>
        </row>
        <row r="17">
          <cell r="BB17" t="str">
            <v>or2008 zone 4C</v>
          </cell>
        </row>
        <row r="18">
          <cell r="BB18" t="str">
            <v>or2008 zone 5B</v>
          </cell>
        </row>
        <row r="19">
          <cell r="BB19" t="str">
            <v>or2011 zone 4C</v>
          </cell>
        </row>
        <row r="20">
          <cell r="BB20" t="str">
            <v>or2011 zone 5B</v>
          </cell>
        </row>
        <row r="21">
          <cell r="BB21" t="str">
            <v>or2014 zone 4C</v>
          </cell>
        </row>
        <row r="22">
          <cell r="BB22" t="str">
            <v>or2014 zone 5B</v>
          </cell>
        </row>
        <row r="23">
          <cell r="BB23" t="str">
            <v>or2017 zone 4C</v>
          </cell>
        </row>
        <row r="24">
          <cell r="BB24" t="str">
            <v>or2017 zone 5B</v>
          </cell>
        </row>
        <row r="25">
          <cell r="BB25" t="str">
            <v>or2020 zone 4C</v>
          </cell>
        </row>
        <row r="26">
          <cell r="BB26" t="str">
            <v>or2020 zone 5B</v>
          </cell>
        </row>
        <row r="27">
          <cell r="BB27" t="str">
            <v>id2008 zone 5B</v>
          </cell>
        </row>
        <row r="28">
          <cell r="BB28" t="str">
            <v>id2008 zone 6B</v>
          </cell>
        </row>
        <row r="29">
          <cell r="BB29" t="str">
            <v>id2011 zone 5B</v>
          </cell>
        </row>
        <row r="30">
          <cell r="BB30" t="str">
            <v>id2011 zone 6B</v>
          </cell>
        </row>
        <row r="31">
          <cell r="BB31" t="str">
            <v>id2015 zone 5B</v>
          </cell>
        </row>
        <row r="32">
          <cell r="BB32" t="str">
            <v>id2015 zone 6B</v>
          </cell>
        </row>
        <row r="33">
          <cell r="BB33" t="str">
            <v>id2018 zone 5B</v>
          </cell>
        </row>
        <row r="34">
          <cell r="BB34" t="str">
            <v>id2018 zone 6B</v>
          </cell>
        </row>
        <row r="35">
          <cell r="BB35" t="str">
            <v>id2021 zone 5B</v>
          </cell>
        </row>
        <row r="36">
          <cell r="BB36" t="str">
            <v>id2021 zone 6B</v>
          </cell>
        </row>
        <row r="37">
          <cell r="BB37" t="str">
            <v>mt2010 zone 6B</v>
          </cell>
        </row>
        <row r="38">
          <cell r="BB38" t="str">
            <v>mt2014 zone 6B</v>
          </cell>
        </row>
        <row r="39">
          <cell r="BB39" t="str">
            <v>mt2017 zone 6B</v>
          </cell>
        </row>
        <row r="40">
          <cell r="BB40" t="str">
            <v>mt2020 zone 6B</v>
          </cell>
        </row>
        <row r="41">
          <cell r="BB41" t="str">
            <v>wa2006 zone 4C</v>
          </cell>
        </row>
        <row r="42">
          <cell r="BB42" t="str">
            <v>wa2006 zone 5B</v>
          </cell>
        </row>
        <row r="43">
          <cell r="BB43" t="str">
            <v>wa2009 zone 4C</v>
          </cell>
        </row>
        <row r="44">
          <cell r="BB44" t="str">
            <v>wa2009 zone 5B</v>
          </cell>
        </row>
        <row r="45">
          <cell r="BB45" t="str">
            <v>wa2012 zone 4C</v>
          </cell>
        </row>
        <row r="46">
          <cell r="BB46" t="str">
            <v>wa2012 zone 5B</v>
          </cell>
        </row>
        <row r="47">
          <cell r="BB47" t="str">
            <v>wa2015 zone 4C</v>
          </cell>
        </row>
        <row r="48">
          <cell r="BB48" t="str">
            <v>wa2015 zone 5B</v>
          </cell>
        </row>
        <row r="49">
          <cell r="BB49" t="str">
            <v>wa2018 zone 4C</v>
          </cell>
        </row>
        <row r="50">
          <cell r="BB50" t="str">
            <v>wa2018 zone 5B</v>
          </cell>
        </row>
        <row r="51">
          <cell r="BB51" t="str">
            <v>wa2021 zone 4C</v>
          </cell>
        </row>
        <row r="52">
          <cell r="BB52" t="str">
            <v>wa2021 zone 5B</v>
          </cell>
        </row>
        <row r="53">
          <cell r="BB53" t="str">
            <v xml:space="preserve">scenario1 zone </v>
          </cell>
        </row>
        <row r="54">
          <cell r="BB54" t="str">
            <v xml:space="preserve">scenario2 zone </v>
          </cell>
        </row>
        <row r="55">
          <cell r="BB55" t="str">
            <v xml:space="preserve">scenario3 zone </v>
          </cell>
        </row>
        <row r="56">
          <cell r="BB56" t="str">
            <v xml:space="preserve">scenario4 zone </v>
          </cell>
        </row>
        <row r="57">
          <cell r="BB57" t="str">
            <v xml:space="preserve">scenario5 zone </v>
          </cell>
        </row>
        <row r="58">
          <cell r="BB58" t="str">
            <v xml:space="preserve">scenario6 zone </v>
          </cell>
        </row>
        <row r="59">
          <cell r="BB59" t="str">
            <v xml:space="preserve">scenario7 zone </v>
          </cell>
        </row>
        <row r="60">
          <cell r="BB60" t="str">
            <v xml:space="preserve">scenario8 zone </v>
          </cell>
        </row>
        <row r="61">
          <cell r="BB61" t="str">
            <v xml:space="preserve">scenario9 zone </v>
          </cell>
        </row>
        <row r="62">
          <cell r="BB62" t="str">
            <v xml:space="preserve">scenario10 zone </v>
          </cell>
        </row>
      </sheetData>
      <sheetData sheetId="5" refreshError="1"/>
      <sheetData sheetId="6" refreshError="1">
        <row r="1">
          <cell r="BY1" t="str">
            <v>options_lookup</v>
          </cell>
        </row>
        <row r="2">
          <cell r="BY2" t="str">
            <v>or2008 opt 1</v>
          </cell>
        </row>
        <row r="3">
          <cell r="BY3" t="str">
            <v>or2008 opt 2a</v>
          </cell>
        </row>
        <row r="4">
          <cell r="BY4" t="str">
            <v>or2008 opt 2b</v>
          </cell>
        </row>
        <row r="5">
          <cell r="BY5" t="str">
            <v>or2008 opt 3</v>
          </cell>
        </row>
        <row r="6">
          <cell r="BY6" t="str">
            <v>or2008 opt 4</v>
          </cell>
        </row>
        <row r="7">
          <cell r="BY7" t="str">
            <v>or2008 opt 5</v>
          </cell>
        </row>
        <row r="8">
          <cell r="BY8" t="str">
            <v>or2008 opt 6</v>
          </cell>
        </row>
        <row r="9">
          <cell r="BY9" t="str">
            <v>or2008 opt 7</v>
          </cell>
        </row>
        <row r="10">
          <cell r="BY10" t="str">
            <v>or2008 opt 8</v>
          </cell>
        </row>
        <row r="11">
          <cell r="BY11" t="str">
            <v>or2008 opt 9</v>
          </cell>
        </row>
        <row r="12">
          <cell r="BY12" t="str">
            <v>or2011 opt 1</v>
          </cell>
        </row>
        <row r="13">
          <cell r="BY13" t="str">
            <v>or2011 opt 2a</v>
          </cell>
        </row>
        <row r="14">
          <cell r="BY14" t="str">
            <v>or2011 opt 2b</v>
          </cell>
        </row>
        <row r="15">
          <cell r="BY15" t="str">
            <v>or2011 opt 2c</v>
          </cell>
        </row>
        <row r="16">
          <cell r="BY16" t="str">
            <v>or2011 opt 3</v>
          </cell>
        </row>
        <row r="17">
          <cell r="BY17" t="str">
            <v>or2011 opt 4</v>
          </cell>
        </row>
        <row r="18">
          <cell r="BY18" t="str">
            <v>or2011 opt 5a</v>
          </cell>
        </row>
        <row r="19">
          <cell r="BY19" t="str">
            <v>or2011 opt 5b</v>
          </cell>
        </row>
        <row r="20">
          <cell r="BY20" t="str">
            <v>or2011 opt 6</v>
          </cell>
        </row>
        <row r="21">
          <cell r="BY21" t="str">
            <v>or2011 opt A</v>
          </cell>
        </row>
        <row r="22">
          <cell r="BY22" t="str">
            <v>or2011 opt B</v>
          </cell>
        </row>
        <row r="23">
          <cell r="BY23" t="str">
            <v>or2011 opt C</v>
          </cell>
        </row>
        <row r="24">
          <cell r="BY24" t="str">
            <v>or2011 opt D</v>
          </cell>
        </row>
        <row r="25">
          <cell r="BY25" t="str">
            <v>or2011 opt E</v>
          </cell>
        </row>
        <row r="26">
          <cell r="BY26" t="str">
            <v>or2011 opt F</v>
          </cell>
        </row>
        <row r="27">
          <cell r="BY27" t="str">
            <v>or2011 opt G</v>
          </cell>
        </row>
        <row r="28">
          <cell r="BY28" t="str">
            <v>or2014 opt 1</v>
          </cell>
        </row>
        <row r="29">
          <cell r="BY29" t="str">
            <v>or2014 opt 2a</v>
          </cell>
        </row>
        <row r="30">
          <cell r="BY30" t="str">
            <v>or2014 opt 2b</v>
          </cell>
        </row>
        <row r="31">
          <cell r="BY31" t="str">
            <v>or2014 opt 2c</v>
          </cell>
        </row>
        <row r="32">
          <cell r="BY32" t="str">
            <v>or2014 opt 3</v>
          </cell>
        </row>
        <row r="33">
          <cell r="BY33" t="str">
            <v>or2014 opt 4</v>
          </cell>
        </row>
        <row r="34">
          <cell r="BY34" t="str">
            <v>or2014 opt 5</v>
          </cell>
        </row>
        <row r="35">
          <cell r="BY35" t="str">
            <v>or2014 opt 6</v>
          </cell>
        </row>
        <row r="36">
          <cell r="BY36" t="str">
            <v>or2014 opt A</v>
          </cell>
        </row>
        <row r="37">
          <cell r="BY37" t="str">
            <v>or2014 opt B</v>
          </cell>
        </row>
        <row r="38">
          <cell r="BY38" t="str">
            <v>or2014 opt C</v>
          </cell>
        </row>
        <row r="39">
          <cell r="BY39" t="str">
            <v>or2014 opt D</v>
          </cell>
        </row>
        <row r="40">
          <cell r="BY40" t="str">
            <v>or2014 opt E</v>
          </cell>
        </row>
        <row r="41">
          <cell r="BY41" t="str">
            <v>or2014 opt F</v>
          </cell>
        </row>
        <row r="42">
          <cell r="BY42" t="str">
            <v>or2014 opt G</v>
          </cell>
        </row>
        <row r="43">
          <cell r="BY43" t="str">
            <v>or2017 opt 1</v>
          </cell>
        </row>
        <row r="44">
          <cell r="BY44" t="str">
            <v>or2017 opt 2</v>
          </cell>
        </row>
        <row r="45">
          <cell r="BY45" t="str">
            <v>or2017 opt 3</v>
          </cell>
        </row>
        <row r="46">
          <cell r="BY46" t="str">
            <v>or2017 opt 4a</v>
          </cell>
        </row>
        <row r="47">
          <cell r="BY47" t="str">
            <v>or2017 opt 4b</v>
          </cell>
        </row>
        <row r="48">
          <cell r="BY48" t="str">
            <v>or2017 opt 5a</v>
          </cell>
        </row>
        <row r="49">
          <cell r="BY49" t="str">
            <v>or2017 opt 5b</v>
          </cell>
        </row>
        <row r="50">
          <cell r="BY50" t="str">
            <v>or2017 opt 6</v>
          </cell>
        </row>
        <row r="51">
          <cell r="BY51" t="str">
            <v>or2017 opt A</v>
          </cell>
        </row>
        <row r="52">
          <cell r="BY52" t="str">
            <v>or2017 opt B</v>
          </cell>
        </row>
        <row r="53">
          <cell r="BY53" t="str">
            <v>or2017 opt C</v>
          </cell>
        </row>
        <row r="54">
          <cell r="BY54" t="str">
            <v>or2017 opt D</v>
          </cell>
        </row>
        <row r="55">
          <cell r="BY55" t="str">
            <v>or2020 opt 1</v>
          </cell>
        </row>
        <row r="56">
          <cell r="BY56" t="str">
            <v>or2020 opt 2</v>
          </cell>
        </row>
        <row r="57">
          <cell r="BY57" t="str">
            <v>or2020 opt 3</v>
          </cell>
        </row>
        <row r="58">
          <cell r="BY58" t="str">
            <v>or2020 opt 4a</v>
          </cell>
        </row>
        <row r="59">
          <cell r="BY59" t="str">
            <v>or2020 opt 4b</v>
          </cell>
        </row>
        <row r="60">
          <cell r="BY60" t="str">
            <v>or2020 opt 5a</v>
          </cell>
        </row>
        <row r="61">
          <cell r="BY61" t="str">
            <v>or2020 opt 5b</v>
          </cell>
        </row>
        <row r="62">
          <cell r="BY62" t="str">
            <v>or2020 opt 6</v>
          </cell>
        </row>
        <row r="63">
          <cell r="BY63" t="str">
            <v>or2020 opt A</v>
          </cell>
        </row>
        <row r="64">
          <cell r="BY64" t="str">
            <v>or2020 opt B</v>
          </cell>
        </row>
        <row r="65">
          <cell r="BY65" t="str">
            <v>or2020 opt C</v>
          </cell>
        </row>
        <row r="66">
          <cell r="BY66" t="str">
            <v>or2020 opt D</v>
          </cell>
        </row>
        <row r="67">
          <cell r="BY67" t="str">
            <v>wa2006 opt 0_</v>
          </cell>
        </row>
        <row r="68">
          <cell r="BY68" t="str">
            <v>wa2012 opt 1a</v>
          </cell>
        </row>
        <row r="69">
          <cell r="BY69" t="str">
            <v>wa2012 opt 1b</v>
          </cell>
        </row>
        <row r="70">
          <cell r="BY70" t="str">
            <v>wa2012 opt 1c</v>
          </cell>
        </row>
        <row r="71">
          <cell r="BY71" t="str">
            <v>wa2012 opt 2a</v>
          </cell>
        </row>
        <row r="72">
          <cell r="BY72" t="str">
            <v>wa2012 opt 2b</v>
          </cell>
        </row>
        <row r="73">
          <cell r="BY73" t="str">
            <v>wa2012 opt 2c</v>
          </cell>
        </row>
        <row r="74">
          <cell r="BY74" t="str">
            <v>wa2012 opt 3a</v>
          </cell>
        </row>
        <row r="75">
          <cell r="BY75" t="str">
            <v>wa2012 opt 3b</v>
          </cell>
        </row>
        <row r="76">
          <cell r="BY76" t="str">
            <v>wa2012 opt 3c</v>
          </cell>
        </row>
        <row r="77">
          <cell r="BY77" t="str">
            <v>wa2012 opt 3d</v>
          </cell>
        </row>
        <row r="78">
          <cell r="BY78" t="str">
            <v>wa2012 opt 4a</v>
          </cell>
        </row>
        <row r="79">
          <cell r="BY79" t="str">
            <v>wa2012 opt 5a</v>
          </cell>
        </row>
        <row r="80">
          <cell r="BY80" t="str">
            <v>wa2012 opt 5b1</v>
          </cell>
        </row>
        <row r="81">
          <cell r="BY81" t="str">
            <v>wa2012 opt 5b2</v>
          </cell>
        </row>
        <row r="82">
          <cell r="BY82" t="str">
            <v>wa2012 opt 6a</v>
          </cell>
        </row>
        <row r="83">
          <cell r="BY83" t="str">
            <v>wa2012 opt 6b</v>
          </cell>
        </row>
        <row r="84">
          <cell r="BY84" t="str">
            <v>wa2012 opt 6c</v>
          </cell>
        </row>
        <row r="85">
          <cell r="BY85" t="str">
            <v>wa2012 opt 6d</v>
          </cell>
        </row>
        <row r="86">
          <cell r="BY86" t="str">
            <v>wa2012 opt 6e</v>
          </cell>
        </row>
        <row r="87">
          <cell r="BY87" t="str">
            <v>wa2012 opt 6f</v>
          </cell>
        </row>
        <row r="88">
          <cell r="BY88" t="str">
            <v>wa2015 opt 0_</v>
          </cell>
        </row>
        <row r="89">
          <cell r="BY89" t="str">
            <v>wa2015 opt 1a</v>
          </cell>
        </row>
        <row r="90">
          <cell r="BY90" t="str">
            <v>wa2015 opt 1b</v>
          </cell>
        </row>
        <row r="91">
          <cell r="BY91" t="str">
            <v>wa2015 opt 1c</v>
          </cell>
        </row>
        <row r="92">
          <cell r="BY92" t="str">
            <v>wa2015 opt 1d</v>
          </cell>
        </row>
        <row r="93">
          <cell r="BY93" t="str">
            <v>wa2015 opt 2a</v>
          </cell>
        </row>
        <row r="94">
          <cell r="BY94" t="str">
            <v>wa2015 opt 2b</v>
          </cell>
        </row>
        <row r="95">
          <cell r="BY95" t="str">
            <v>wa2015 opt 2c</v>
          </cell>
        </row>
        <row r="96">
          <cell r="BY96" t="str">
            <v>wa2015 opt 3a</v>
          </cell>
        </row>
        <row r="97">
          <cell r="BY97" t="str">
            <v>wa2015 opt 3b</v>
          </cell>
        </row>
        <row r="98">
          <cell r="BY98" t="str">
            <v>wa2015 opt 3c</v>
          </cell>
        </row>
        <row r="99">
          <cell r="BY99" t="str">
            <v>wa2015 opt 3d</v>
          </cell>
        </row>
        <row r="100">
          <cell r="BY100" t="str">
            <v>wa2015 opt 4a</v>
          </cell>
        </row>
        <row r="101">
          <cell r="BY101" t="str">
            <v>wa2015 opt 5a</v>
          </cell>
        </row>
        <row r="102">
          <cell r="BY102" t="str">
            <v>wa2015 opt 5b</v>
          </cell>
        </row>
        <row r="103">
          <cell r="BY103" t="str">
            <v>wa2015 opt 5c1</v>
          </cell>
        </row>
        <row r="104">
          <cell r="BY104" t="str">
            <v>wa2015 opt 5c2</v>
          </cell>
        </row>
        <row r="105">
          <cell r="BY105" t="str">
            <v>wa2015 opt 5g</v>
          </cell>
        </row>
        <row r="106">
          <cell r="BY106" t="str">
            <v>wa2015 opt 6a</v>
          </cell>
        </row>
        <row r="107">
          <cell r="BY107" t="str">
            <v>wa2015 opt 6b</v>
          </cell>
        </row>
        <row r="108">
          <cell r="BY108" t="str">
            <v>wa2015 opt 6c</v>
          </cell>
        </row>
        <row r="109">
          <cell r="BY109" t="str">
            <v>wa2015 opt 6d</v>
          </cell>
        </row>
        <row r="110">
          <cell r="BY110" t="str">
            <v>wa2015 opt 6e</v>
          </cell>
        </row>
        <row r="111">
          <cell r="BY111" t="str">
            <v>wa2015 opt 6f</v>
          </cell>
        </row>
        <row r="112">
          <cell r="BY112" t="str">
            <v>wa2018 opt 0_</v>
          </cell>
        </row>
        <row r="113">
          <cell r="BY113" t="str">
            <v>wa2018 opt 1a</v>
          </cell>
        </row>
        <row r="114">
          <cell r="BY114" t="str">
            <v>wa2018 opt 1b</v>
          </cell>
        </row>
        <row r="115">
          <cell r="BY115" t="str">
            <v>wa2018 opt 1c</v>
          </cell>
        </row>
        <row r="116">
          <cell r="BY116" t="str">
            <v>wa2018 opt 1d</v>
          </cell>
        </row>
        <row r="117">
          <cell r="BY117" t="str">
            <v>wa2018 opt 1e</v>
          </cell>
        </row>
        <row r="118">
          <cell r="BY118" t="str">
            <v>wa2018 opt 1f</v>
          </cell>
        </row>
        <row r="119">
          <cell r="BY119" t="str">
            <v>wa2018 opt 2a</v>
          </cell>
        </row>
        <row r="120">
          <cell r="BY120" t="str">
            <v>wa2018 opt 2b</v>
          </cell>
        </row>
        <row r="121">
          <cell r="BY121" t="str">
            <v>wa2018 opt 2c</v>
          </cell>
        </row>
        <row r="122">
          <cell r="BY122" t="str">
            <v>wa2018 opt 2d</v>
          </cell>
        </row>
        <row r="123">
          <cell r="BY123" t="str">
            <v>wa2018 opt 3a</v>
          </cell>
        </row>
        <row r="124">
          <cell r="BY124" t="str">
            <v>wa2018 opt 3b</v>
          </cell>
        </row>
        <row r="125">
          <cell r="BY125" t="str">
            <v>wa2018 opt 3c</v>
          </cell>
        </row>
        <row r="126">
          <cell r="BY126" t="str">
            <v>wa2018 opt 3d</v>
          </cell>
        </row>
        <row r="127">
          <cell r="BY127" t="str">
            <v>wa2018 opt 3e</v>
          </cell>
        </row>
        <row r="128">
          <cell r="BY128" t="str">
            <v>wa2018 opt 3f</v>
          </cell>
        </row>
        <row r="129">
          <cell r="BY129" t="str">
            <v>wa2018 opt 3g</v>
          </cell>
        </row>
        <row r="130">
          <cell r="BY130" t="str">
            <v>wa2018 opt 4a</v>
          </cell>
        </row>
        <row r="131">
          <cell r="BY131" t="str">
            <v>wa2018 opt 5a</v>
          </cell>
        </row>
        <row r="132">
          <cell r="BY132" t="str">
            <v>wa2018 opt 5b</v>
          </cell>
        </row>
        <row r="133">
          <cell r="BY133" t="str">
            <v>wa2018 opt 5c1</v>
          </cell>
        </row>
        <row r="134">
          <cell r="BY134" t="str">
            <v>wa2018 opt 5c2</v>
          </cell>
        </row>
        <row r="135">
          <cell r="BY135" t="str">
            <v>wa2018 opt 5d</v>
          </cell>
        </row>
        <row r="136">
          <cell r="BY136" t="str">
            <v>wa2018 opt 5e</v>
          </cell>
        </row>
        <row r="137">
          <cell r="BY137" t="str">
            <v>wa2018 opt 5f</v>
          </cell>
        </row>
        <row r="138">
          <cell r="BY138" t="str">
            <v>wa2018 opt 5g</v>
          </cell>
        </row>
        <row r="139">
          <cell r="BY139" t="str">
            <v>wa2018 opt 6a</v>
          </cell>
        </row>
        <row r="140">
          <cell r="BY140" t="str">
            <v>wa2018 opt 6b</v>
          </cell>
        </row>
        <row r="141">
          <cell r="BY141" t="str">
            <v>wa2018 opt 6c</v>
          </cell>
        </row>
        <row r="142">
          <cell r="BY142" t="str">
            <v>wa2018 opt 6d</v>
          </cell>
        </row>
        <row r="143">
          <cell r="BY143" t="str">
            <v>wa2018 opt 6e</v>
          </cell>
        </row>
        <row r="144">
          <cell r="BY144" t="str">
            <v>wa2018 opt 6f</v>
          </cell>
        </row>
        <row r="145">
          <cell r="BY145" t="str">
            <v>wa2018 opt 7</v>
          </cell>
        </row>
        <row r="146">
          <cell r="BY146" t="str">
            <v>wa2021 opt 1a</v>
          </cell>
        </row>
        <row r="147">
          <cell r="BY147" t="str">
            <v>wa2021 opt 1b</v>
          </cell>
        </row>
        <row r="148">
          <cell r="BY148" t="str">
            <v>wa2021 opt 1c</v>
          </cell>
        </row>
        <row r="149">
          <cell r="BY149" t="str">
            <v>wa2021 opt 1d</v>
          </cell>
        </row>
        <row r="150">
          <cell r="BY150" t="str">
            <v>wa2021 opt 1e</v>
          </cell>
        </row>
        <row r="151">
          <cell r="BY151" t="str">
            <v>wa2021 opt 1f</v>
          </cell>
        </row>
        <row r="152">
          <cell r="BY152" t="str">
            <v>wa2021 opt 2a</v>
          </cell>
        </row>
        <row r="153">
          <cell r="BY153" t="str">
            <v>wa2021 opt 2b</v>
          </cell>
        </row>
        <row r="154">
          <cell r="BY154" t="str">
            <v>wa2021 opt 2c</v>
          </cell>
        </row>
        <row r="155">
          <cell r="BY155" t="str">
            <v>wa2021 opt 2d</v>
          </cell>
        </row>
        <row r="156">
          <cell r="BY156" t="str">
            <v>wa2021 opt 3a</v>
          </cell>
        </row>
        <row r="157">
          <cell r="BY157" t="str">
            <v>wa2021 opt 3b</v>
          </cell>
        </row>
        <row r="158">
          <cell r="BY158" t="str">
            <v>wa2021 opt 3c</v>
          </cell>
        </row>
        <row r="159">
          <cell r="BY159" t="str">
            <v>wa2021 opt 3d</v>
          </cell>
        </row>
        <row r="160">
          <cell r="BY160" t="str">
            <v>wa2021 opt 3e</v>
          </cell>
        </row>
        <row r="161">
          <cell r="BY161" t="str">
            <v>wa2021 opt 3f</v>
          </cell>
        </row>
        <row r="162">
          <cell r="BY162" t="str">
            <v>wa2021 opt 3g</v>
          </cell>
        </row>
        <row r="163">
          <cell r="BY163" t="str">
            <v>wa2021 opt 4a</v>
          </cell>
        </row>
        <row r="164">
          <cell r="BY164" t="str">
            <v>wa2021 opt 5a</v>
          </cell>
        </row>
        <row r="165">
          <cell r="BY165" t="str">
            <v>wa2021 opt 5b</v>
          </cell>
        </row>
        <row r="166">
          <cell r="BY166" t="str">
            <v>wa2021 opt 5c1</v>
          </cell>
        </row>
        <row r="167">
          <cell r="BY167" t="str">
            <v>wa2021 opt 5c2</v>
          </cell>
        </row>
        <row r="168">
          <cell r="BY168" t="str">
            <v>wa2021 opt 5d</v>
          </cell>
        </row>
        <row r="169">
          <cell r="BY169" t="str">
            <v>wa2021 opt 5e</v>
          </cell>
        </row>
        <row r="170">
          <cell r="BY170" t="str">
            <v>wa2021 opt 5f</v>
          </cell>
        </row>
        <row r="171">
          <cell r="BY171" t="str">
            <v>wa2021 opt 5g</v>
          </cell>
        </row>
        <row r="172">
          <cell r="BY172" t="str">
            <v>wa2021 opt 6a</v>
          </cell>
        </row>
        <row r="173">
          <cell r="BY173" t="str">
            <v>wa2021 opt 6b</v>
          </cell>
        </row>
        <row r="174">
          <cell r="BY174" t="str">
            <v>wa2021 opt 6c</v>
          </cell>
        </row>
        <row r="175">
          <cell r="BY175" t="str">
            <v>wa2021 opt 6d</v>
          </cell>
        </row>
        <row r="176">
          <cell r="BY176" t="str">
            <v>wa2021 opt 6e</v>
          </cell>
        </row>
        <row r="177">
          <cell r="BY177" t="str">
            <v>wa2021 opt 6f</v>
          </cell>
        </row>
        <row r="178">
          <cell r="BY178" t="str">
            <v>wa2021 opt 7</v>
          </cell>
        </row>
        <row r="179">
          <cell r="BY179" t="str">
            <v>scenario1 opt 1</v>
          </cell>
        </row>
        <row r="180">
          <cell r="BY180" t="str">
            <v>scenario2 opt 1</v>
          </cell>
        </row>
        <row r="181">
          <cell r="BY181" t="str">
            <v>scenario3 opt 1</v>
          </cell>
        </row>
        <row r="182">
          <cell r="BY182" t="str">
            <v>scenario4 opt 1</v>
          </cell>
        </row>
        <row r="183">
          <cell r="BY183" t="str">
            <v>scenario5 opt 1</v>
          </cell>
        </row>
        <row r="184">
          <cell r="BY184" t="str">
            <v>scenario6 opt 1</v>
          </cell>
        </row>
        <row r="185">
          <cell r="BY185" t="str">
            <v>scenario7 opt 1</v>
          </cell>
        </row>
        <row r="186">
          <cell r="BY186" t="str">
            <v>scenario8 opt 1</v>
          </cell>
        </row>
        <row r="187">
          <cell r="BY187" t="str">
            <v>scenario9 opt 1</v>
          </cell>
        </row>
        <row r="188">
          <cell r="BY188" t="str">
            <v>scenario10 opt 1</v>
          </cell>
        </row>
        <row r="189">
          <cell r="BY189" t="str">
            <v>iecc2006 opt 1</v>
          </cell>
        </row>
        <row r="190">
          <cell r="BY190" t="str">
            <v>iecc2009 opt 1</v>
          </cell>
        </row>
        <row r="191">
          <cell r="BY191" t="str">
            <v>iecc2012 opt 1</v>
          </cell>
        </row>
        <row r="192">
          <cell r="BY192" t="str">
            <v>iecc2015 opt 1</v>
          </cell>
        </row>
        <row r="193">
          <cell r="BY193" t="str">
            <v>iecc2018 opt 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000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00008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nergycode@energy.wsu.edu"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hyperlink" Target="http://www.energy.wsu.edu/Documents/ga_2015WSEC_Appx.pdf" TargetMode="External"/><Relationship Id="rId13" Type="http://schemas.openxmlformats.org/officeDocument/2006/relationships/hyperlink" Target="mailto:energycode@energy.wsu.edu" TargetMode="External"/><Relationship Id="rId18" Type="http://schemas.openxmlformats.org/officeDocument/2006/relationships/hyperlink" Target="https://www.energy.wsu.edu/BuildingEfficiency/EnergyCode/AdditionalResources.aspx" TargetMode="External"/><Relationship Id="rId26" Type="http://schemas.openxmlformats.org/officeDocument/2006/relationships/ctrlProp" Target="../ctrlProps/ctrlProp4.xml"/><Relationship Id="rId3" Type="http://schemas.openxmlformats.org/officeDocument/2006/relationships/hyperlink" Target="http://www.energy.wsu.edu/BuildingEfficiency/EnergyCode/AdditionalResources.aspx" TargetMode="External"/><Relationship Id="rId21" Type="http://schemas.openxmlformats.org/officeDocument/2006/relationships/printerSettings" Target="../printerSettings/printerSettings2.bin"/><Relationship Id="rId7" Type="http://schemas.openxmlformats.org/officeDocument/2006/relationships/hyperlink" Target="https://betterbuiltnw.com/resources/hvac-sizing-tool" TargetMode="External"/><Relationship Id="rId12" Type="http://schemas.openxmlformats.org/officeDocument/2006/relationships/hyperlink" Target="https://www.acca.org/home" TargetMode="External"/><Relationship Id="rId17" Type="http://schemas.openxmlformats.org/officeDocument/2006/relationships/hyperlink" Target="https://www.energy.wsu.edu/BuildingEfficiency/EnergyCode.aspx" TargetMode="External"/><Relationship Id="rId25" Type="http://schemas.openxmlformats.org/officeDocument/2006/relationships/ctrlProp" Target="../ctrlProps/ctrlProp3.xml"/><Relationship Id="rId2" Type="http://schemas.openxmlformats.org/officeDocument/2006/relationships/hyperlink" Target="http://www.energy.wsu.edu/BuildingEfficiency/EnergyCode.aspx" TargetMode="External"/><Relationship Id="rId16" Type="http://schemas.openxmlformats.org/officeDocument/2006/relationships/hyperlink" Target="https://www.energy.wsu.edu/BuildingEfficiency/EnergyCode.aspx" TargetMode="External"/><Relationship Id="rId20" Type="http://schemas.openxmlformats.org/officeDocument/2006/relationships/hyperlink" Target="https://www.energy.wsu.edu/BuildingEfficiency/EnergyCode/AdditionalResources.aspx" TargetMode="External"/><Relationship Id="rId1" Type="http://schemas.openxmlformats.org/officeDocument/2006/relationships/hyperlink" Target="mailto:mccoyg@energy.wsu.edu" TargetMode="External"/><Relationship Id="rId6" Type="http://schemas.openxmlformats.org/officeDocument/2006/relationships/hyperlink" Target="http://www.energy.wsu.edu/documents/Prescriptive%20Checklist%202018_rev%2012-4-20.pdf" TargetMode="External"/><Relationship Id="rId11" Type="http://schemas.openxmlformats.org/officeDocument/2006/relationships/hyperlink" Target="http://www.energy.wsu.edu/Documents/Alterations%20Remodel%20Worksheet.xlsx" TargetMode="External"/><Relationship Id="rId24" Type="http://schemas.openxmlformats.org/officeDocument/2006/relationships/ctrlProp" Target="../ctrlProps/ctrlProp2.xml"/><Relationship Id="rId5" Type="http://schemas.openxmlformats.org/officeDocument/2006/relationships/hyperlink" Target="https://www.sbcc.wa.gov/sites/default/files/2020-02/2018%20WSEC_R%20Final%20package.pdf" TargetMode="External"/><Relationship Id="rId15" Type="http://schemas.openxmlformats.org/officeDocument/2006/relationships/hyperlink" Target="mailto:energycode@energy.wsu.edu" TargetMode="External"/><Relationship Id="rId23" Type="http://schemas.openxmlformats.org/officeDocument/2006/relationships/vmlDrawing" Target="../drawings/vmlDrawing2.vml"/><Relationship Id="rId10" Type="http://schemas.openxmlformats.org/officeDocument/2006/relationships/hyperlink" Target="https://www.phnw.org/phnw-mission" TargetMode="External"/><Relationship Id="rId19" Type="http://schemas.openxmlformats.org/officeDocument/2006/relationships/hyperlink" Target="https://www.energy.wsu.edu/BuildingEfficiency/EnergyCode/AdditionalResources.aspx" TargetMode="External"/><Relationship Id="rId4" Type="http://schemas.openxmlformats.org/officeDocument/2006/relationships/hyperlink" Target="https://sbcc.wa.gov/sites/default/files/2023-04/2021_WSEC_R_1stPrint-1_042623.pdf" TargetMode="External"/><Relationship Id="rId9" Type="http://schemas.openxmlformats.org/officeDocument/2006/relationships/hyperlink" Target="http://www.energy.wsu.edu/Documents/ga_2015WSEC_Appx.pdf" TargetMode="External"/><Relationship Id="rId14" Type="http://schemas.openxmlformats.org/officeDocument/2006/relationships/hyperlink" Target="mailto:energycode@energy.wsu.edu" TargetMode="External"/><Relationship Id="rId2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mailto:energycode@energy.wsu.edu" TargetMode="Externa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3" Type="http://schemas.openxmlformats.org/officeDocument/2006/relationships/vmlDrawing" Target="../drawings/vmlDrawing3.vml"/><Relationship Id="rId7" Type="http://schemas.openxmlformats.org/officeDocument/2006/relationships/ctrlProp" Target="../ctrlProps/ctrlProp8.xml"/><Relationship Id="rId12"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0" Type="http://schemas.openxmlformats.org/officeDocument/2006/relationships/ctrlProp" Target="../ctrlProps/ctrlProp11.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6.xml.rels><?xml version="1.0" encoding="UTF-8" standalone="yes"?>
<Relationships xmlns="http://schemas.openxmlformats.org/package/2006/relationships"><Relationship Id="rId13" Type="http://schemas.openxmlformats.org/officeDocument/2006/relationships/hyperlink" Target="http://www.energy.wsu.edu/Documents/Duct%20Leakage%20affidavit%20existing%201_29-12.pdf" TargetMode="External"/><Relationship Id="rId18" Type="http://schemas.openxmlformats.org/officeDocument/2006/relationships/hyperlink" Target="https://sbcc.wa.gov/state-codes-regulations-guidelines/state-building-code/energy-code" TargetMode="External"/><Relationship Id="rId26" Type="http://schemas.openxmlformats.org/officeDocument/2006/relationships/ctrlProp" Target="../ctrlProps/ctrlProp19.xml"/><Relationship Id="rId3" Type="http://schemas.openxmlformats.org/officeDocument/2006/relationships/hyperlink" Target="http://www.energy.wsu.edu/Documents/Duct%20Testing%20Standards%20_2018%20WSEC.pdf" TargetMode="External"/><Relationship Id="rId21" Type="http://schemas.openxmlformats.org/officeDocument/2006/relationships/vmlDrawing" Target="../drawings/vmlDrawing4.vml"/><Relationship Id="rId7" Type="http://schemas.openxmlformats.org/officeDocument/2006/relationships/hyperlink" Target="http://www.energy.wsu.edu/Documents/Compliance%20Certificate%202018%20WSEC.pdf" TargetMode="External"/><Relationship Id="rId12" Type="http://schemas.openxmlformats.org/officeDocument/2006/relationships/hyperlink" Target="http://www.energy.wsu.edu/Documents/Duct%20Leakage%20affidavit%20new%20construction%201_29_12.pdf" TargetMode="External"/><Relationship Id="rId17" Type="http://schemas.openxmlformats.org/officeDocument/2006/relationships/hyperlink" Target="https://www.adicotengineering.com/eer-seer2-cop-hspf2-kwton-converter" TargetMode="External"/><Relationship Id="rId25" Type="http://schemas.openxmlformats.org/officeDocument/2006/relationships/ctrlProp" Target="../ctrlProps/ctrlProp18.xml"/><Relationship Id="rId33" Type="http://schemas.openxmlformats.org/officeDocument/2006/relationships/comments" Target="../comments1.xml"/><Relationship Id="rId2" Type="http://schemas.openxmlformats.org/officeDocument/2006/relationships/hyperlink" Target="https://betterbuiltnw.com/resources/hvac-sizing-tool" TargetMode="External"/><Relationship Id="rId16" Type="http://schemas.openxmlformats.org/officeDocument/2006/relationships/hyperlink" Target="https://up.codes/viewer/washington/imc-2015/chapter/4/ventilation" TargetMode="External"/><Relationship Id="rId20" Type="http://schemas.openxmlformats.org/officeDocument/2006/relationships/drawing" Target="../drawings/drawing5.xml"/><Relationship Id="rId29" Type="http://schemas.openxmlformats.org/officeDocument/2006/relationships/ctrlProp" Target="../ctrlProps/ctrlProp22.xml"/><Relationship Id="rId1" Type="http://schemas.openxmlformats.org/officeDocument/2006/relationships/printerSettings" Target="../printerSettings/printerSettings7.bin"/><Relationship Id="rId6" Type="http://schemas.openxmlformats.org/officeDocument/2006/relationships/hyperlink" Target="http://www.energy.wsu.edu/Documents/Compliance%20Certificate%20Instructions%202018%20WSEC_rev%2012-9-20.pdf" TargetMode="External"/><Relationship Id="rId11" Type="http://schemas.openxmlformats.org/officeDocument/2006/relationships/hyperlink" Target="http://www.energy.wsu.edu/Documents/Duct%20Leakage%20affidavit%20existing%201_29-12.pdf" TargetMode="External"/><Relationship Id="rId24" Type="http://schemas.openxmlformats.org/officeDocument/2006/relationships/ctrlProp" Target="../ctrlProps/ctrlProp17.xml"/><Relationship Id="rId32" Type="http://schemas.openxmlformats.org/officeDocument/2006/relationships/ctrlProp" Target="../ctrlProps/ctrlProp25.xml"/><Relationship Id="rId5" Type="http://schemas.openxmlformats.org/officeDocument/2006/relationships/hyperlink" Target="http://www.energy.wsu.edu/Documents/Insulation%20Certificate%20_rev%2011-23-20.pdf" TargetMode="External"/><Relationship Id="rId15" Type="http://schemas.openxmlformats.org/officeDocument/2006/relationships/hyperlink" Target="http://www.energy.wsu.edu/Documents/Alterations%20Remodel%20Worksheet.xlsx" TargetMode="External"/><Relationship Id="rId23" Type="http://schemas.openxmlformats.org/officeDocument/2006/relationships/ctrlProp" Target="../ctrlProps/ctrlProp16.xml"/><Relationship Id="rId28" Type="http://schemas.openxmlformats.org/officeDocument/2006/relationships/ctrlProp" Target="../ctrlProps/ctrlProp21.xml"/><Relationship Id="rId10" Type="http://schemas.openxmlformats.org/officeDocument/2006/relationships/hyperlink" Target="http://www.energy.wsu.edu/documents/Prescriptive%20Checklist%202018_rev%205-18-21.pdf" TargetMode="External"/><Relationship Id="rId19" Type="http://schemas.openxmlformats.org/officeDocument/2006/relationships/printerSettings" Target="../printerSettings/printerSettings8.bin"/><Relationship Id="rId31" Type="http://schemas.openxmlformats.org/officeDocument/2006/relationships/ctrlProp" Target="../ctrlProps/ctrlProp24.xml"/><Relationship Id="rId4" Type="http://schemas.openxmlformats.org/officeDocument/2006/relationships/hyperlink" Target="http://www.energy.wsu.edu/Documents/Compliance%20Certificate%202018%20WSEC.pdf" TargetMode="External"/><Relationship Id="rId9" Type="http://schemas.openxmlformats.org/officeDocument/2006/relationships/hyperlink" Target="http://www.energy.wsu.edu/Documents/Insulation%20Certificate%20_rev%2011-23-20.pdf" TargetMode="External"/><Relationship Id="rId14" Type="http://schemas.openxmlformats.org/officeDocument/2006/relationships/hyperlink" Target="http://www.energy.wsu.edu/Documents/Duct%20Leakage%20affidavit%20new%20construction%201_29_12.pdf" TargetMode="External"/><Relationship Id="rId22" Type="http://schemas.openxmlformats.org/officeDocument/2006/relationships/ctrlProp" Target="../ctrlProps/ctrlProp15.xml"/><Relationship Id="rId27" Type="http://schemas.openxmlformats.org/officeDocument/2006/relationships/ctrlProp" Target="../ctrlProps/ctrlProp20.xml"/><Relationship Id="rId30" Type="http://schemas.openxmlformats.org/officeDocument/2006/relationships/ctrlProp" Target="../ctrlProps/ctrlProp23.xml"/><Relationship Id="rId8" Type="http://schemas.openxmlformats.org/officeDocument/2006/relationships/hyperlink" Target="http://www.energy.wsu.edu/Documents/Insulation%20Certificate%20_rev%2011-23-20.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comments" Target="../comments2.xml"/><Relationship Id="rId5" Type="http://schemas.openxmlformats.org/officeDocument/2006/relationships/ctrlProp" Target="../ctrlProps/ctrlProp26.xml"/><Relationship Id="rId4"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mments" Target="../comments3.xml"/><Relationship Id="rId5" Type="http://schemas.openxmlformats.org/officeDocument/2006/relationships/ctrlProp" Target="../ctrlProps/ctrlProp27.xml"/><Relationship Id="rId4"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comments" Target="../comments4.xml"/><Relationship Id="rId5" Type="http://schemas.openxmlformats.org/officeDocument/2006/relationships/ctrlProp" Target="../ctrlProps/ctrlProp28.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comments" Target="../comments5.xml"/><Relationship Id="rId5" Type="http://schemas.openxmlformats.org/officeDocument/2006/relationships/ctrlProp" Target="../ctrlProps/ctrlProp29.xml"/><Relationship Id="rId4"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comments" Target="../comments6.xml"/><Relationship Id="rId5" Type="http://schemas.openxmlformats.org/officeDocument/2006/relationships/ctrlProp" Target="../ctrlProps/ctrlProp30.xml"/><Relationship Id="rId4"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comments" Target="../comments7.xml"/><Relationship Id="rId5" Type="http://schemas.openxmlformats.org/officeDocument/2006/relationships/ctrlProp" Target="../ctrlProps/ctrlProp31.xml"/><Relationship Id="rId4"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s://www.ashrae.org/File%20Library/Technical%20Resources/Standards%20and%20Guidelines/Standards%20Intepretations/IC-90.1-2007-27.pdf" TargetMode="External"/><Relationship Id="rId7" Type="http://schemas.openxmlformats.org/officeDocument/2006/relationships/drawing" Target="../drawings/drawing12.xml"/><Relationship Id="rId2" Type="http://schemas.openxmlformats.org/officeDocument/2006/relationships/hyperlink" Target="https://web.ornl.gov/sci/buildings/conf-archive/2007%20B10%20papers/092_Baylon.pdf" TargetMode="External"/><Relationship Id="rId1" Type="http://schemas.openxmlformats.org/officeDocument/2006/relationships/printerSettings" Target="../printerSettings/printerSettings21.bin"/><Relationship Id="rId6" Type="http://schemas.openxmlformats.org/officeDocument/2006/relationships/printerSettings" Target="../printerSettings/printerSettings22.bin"/><Relationship Id="rId5" Type="http://schemas.openxmlformats.org/officeDocument/2006/relationships/hyperlink" Target="https://unmethours.com/question/3629/f-factor-calculation-ashrae-901-2007-table-a63/" TargetMode="External"/><Relationship Id="rId10" Type="http://schemas.openxmlformats.org/officeDocument/2006/relationships/comments" Target="../comments8.xml"/><Relationship Id="rId4" Type="http://schemas.openxmlformats.org/officeDocument/2006/relationships/hyperlink" Target="https://www.usailighting.com/stuff/contentmgr/files/1/b90ce247855d0f17438484c003877338/misc/ashrae_90_1_2010.pdf" TargetMode="External"/><Relationship Id="rId9" Type="http://schemas.openxmlformats.org/officeDocument/2006/relationships/ctrlProp" Target="../ctrlProps/ctrlProp32.x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comments" Target="../comments9.xml"/><Relationship Id="rId5" Type="http://schemas.openxmlformats.org/officeDocument/2006/relationships/ctrlProp" Target="../ctrlProps/ctrlProp33.xml"/><Relationship Id="rId4" Type="http://schemas.openxmlformats.org/officeDocument/2006/relationships/vmlDrawing" Target="../drawings/vmlDrawing12.v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3.v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hyperlink" Target="mailto:roosc@energy.wsu.edu?subject=GilMore%20Help" TargetMode="External"/><Relationship Id="rId4" Type="http://schemas.openxmlformats.org/officeDocument/2006/relationships/ctrlProp" Target="../ctrlProps/ctrlProp3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Initializing">
    <tabColor rgb="FFFF7C80"/>
  </sheetPr>
  <dimension ref="A1:R45"/>
  <sheetViews>
    <sheetView tabSelected="1" zoomScaleNormal="100" workbookViewId="0"/>
  </sheetViews>
  <sheetFormatPr defaultRowHeight="15"/>
  <cols>
    <col min="1" max="1" width="4.85546875" style="529" customWidth="1"/>
    <col min="2" max="2" width="5.42578125" style="529" customWidth="1"/>
    <col min="3" max="3" width="5.140625" style="529" customWidth="1"/>
    <col min="4" max="4" width="13.5703125" style="529" customWidth="1"/>
    <col min="5" max="5" width="23.7109375" style="529" customWidth="1"/>
    <col min="6" max="6" width="16.7109375" style="529" customWidth="1"/>
    <col min="7" max="7" width="27" style="529" customWidth="1"/>
    <col min="8" max="8" width="17" style="529" customWidth="1"/>
    <col min="9" max="18" width="16.7109375" style="529" customWidth="1"/>
    <col min="19" max="16384" width="9.140625" style="529"/>
  </cols>
  <sheetData>
    <row r="1" spans="1:18" ht="28.5">
      <c r="A1" s="1038"/>
      <c r="B1" s="527"/>
      <c r="C1" s="528" t="str">
        <f>'Getting Started'!C1</f>
        <v>WSU Code Compliance Calculator  - WSEC 2018 &amp; 2021</v>
      </c>
      <c r="D1" s="526"/>
      <c r="E1" s="528"/>
      <c r="F1" s="528"/>
      <c r="G1" s="528"/>
      <c r="H1" s="533"/>
      <c r="I1" s="527"/>
      <c r="J1" s="1047" t="s">
        <v>3200</v>
      </c>
      <c r="K1" s="527"/>
      <c r="L1" s="527"/>
      <c r="M1" s="527"/>
      <c r="N1" s="526"/>
      <c r="O1" s="526"/>
      <c r="P1" s="526"/>
      <c r="Q1" s="526"/>
      <c r="R1" s="526"/>
    </row>
    <row r="2" spans="1:18" ht="21">
      <c r="A2" s="530"/>
      <c r="B2" s="531"/>
      <c r="C2" s="532" t="str">
        <f>'Getting Started'!C2</f>
        <v xml:space="preserve">Washington State University  Energy Program </v>
      </c>
      <c r="D2" s="530"/>
      <c r="E2" s="532"/>
      <c r="F2" s="532"/>
      <c r="G2" s="532"/>
      <c r="H2" s="533"/>
      <c r="I2" s="531"/>
      <c r="J2" s="1048">
        <f>VersionDate</f>
        <v>45951.785555555558</v>
      </c>
      <c r="K2" s="531"/>
      <c r="L2" s="531"/>
      <c r="M2" s="531"/>
      <c r="N2" s="530"/>
      <c r="O2" s="530"/>
      <c r="P2" s="530"/>
      <c r="Q2" s="530"/>
      <c r="R2" s="530"/>
    </row>
    <row r="3" spans="1:18" ht="16.5" thickBot="1">
      <c r="A3" s="534"/>
      <c r="B3" s="535"/>
      <c r="C3" s="1088" t="str">
        <f>'Getting Started'!C3</f>
        <v>For assistance contact: energycode@energy.wsu.edu</v>
      </c>
      <c r="D3" s="1088"/>
      <c r="E3" s="1088"/>
      <c r="F3" s="1088"/>
      <c r="G3" s="1088"/>
      <c r="H3" s="1083"/>
      <c r="I3" s="1083"/>
      <c r="J3" s="1083"/>
      <c r="K3" s="1083"/>
      <c r="L3" s="1083"/>
      <c r="M3" s="536"/>
      <c r="N3" s="534"/>
      <c r="O3" s="534"/>
      <c r="P3" s="534"/>
      <c r="Q3" s="534"/>
      <c r="R3" s="534"/>
    </row>
    <row r="4" spans="1:18" ht="33.75" customHeight="1">
      <c r="A4" s="537"/>
      <c r="B4" s="1084" t="s">
        <v>2447</v>
      </c>
      <c r="C4" s="1084"/>
      <c r="D4" s="1084"/>
      <c r="E4" s="1084"/>
      <c r="F4" s="1084"/>
      <c r="G4" s="1084"/>
      <c r="H4" s="1084"/>
      <c r="I4" s="538"/>
      <c r="J4" s="537"/>
      <c r="K4" s="537"/>
      <c r="L4" s="537"/>
      <c r="M4" s="537"/>
      <c r="N4" s="537"/>
      <c r="O4" s="537"/>
      <c r="P4" s="537"/>
      <c r="Q4" s="537"/>
      <c r="R4" s="537"/>
    </row>
    <row r="5" spans="1:18" ht="80.25" customHeight="1">
      <c r="A5" s="537"/>
      <c r="B5" s="1085" t="s">
        <v>2955</v>
      </c>
      <c r="C5" s="1076"/>
      <c r="D5" s="1076"/>
      <c r="E5" s="1076"/>
      <c r="F5" s="1076"/>
      <c r="G5" s="1076"/>
      <c r="H5" s="1076"/>
      <c r="I5" s="537"/>
      <c r="J5" s="537"/>
      <c r="K5" s="537"/>
      <c r="L5" s="537"/>
      <c r="M5" s="537"/>
      <c r="N5" s="537"/>
      <c r="O5" s="537"/>
      <c r="P5" s="537"/>
      <c r="Q5" s="537"/>
      <c r="R5" s="537"/>
    </row>
    <row r="6" spans="1:18" ht="67.5" customHeight="1">
      <c r="A6" s="537"/>
      <c r="B6" s="1075" t="s">
        <v>2533</v>
      </c>
      <c r="C6" s="1076"/>
      <c r="D6" s="1076"/>
      <c r="E6" s="1076"/>
      <c r="F6" s="1076"/>
      <c r="G6" s="1076"/>
      <c r="H6" s="1076"/>
      <c r="I6" s="537"/>
      <c r="J6" s="537"/>
      <c r="K6" s="537"/>
      <c r="L6" s="537"/>
      <c r="M6" s="537"/>
      <c r="N6" s="537"/>
      <c r="O6" s="537"/>
      <c r="P6" s="537"/>
      <c r="Q6" s="537"/>
      <c r="R6" s="537"/>
    </row>
    <row r="7" spans="1:18" ht="27" customHeight="1">
      <c r="A7" s="537"/>
      <c r="B7" s="1086" t="s">
        <v>2392</v>
      </c>
      <c r="C7" s="1086"/>
      <c r="D7" s="1086"/>
      <c r="E7" s="1086"/>
      <c r="F7" s="1086"/>
      <c r="G7" s="1086"/>
      <c r="H7" s="1086"/>
      <c r="I7" s="537"/>
      <c r="J7" s="537"/>
      <c r="K7" s="537"/>
      <c r="L7" s="537"/>
      <c r="M7" s="537"/>
      <c r="N7" s="537"/>
      <c r="O7" s="537"/>
      <c r="P7" s="537"/>
      <c r="Q7" s="537"/>
      <c r="R7" s="537"/>
    </row>
    <row r="8" spans="1:18" ht="33.75" customHeight="1">
      <c r="A8" s="537"/>
      <c r="B8" s="1087" t="s">
        <v>3187</v>
      </c>
      <c r="C8" s="1087"/>
      <c r="D8" s="1087"/>
      <c r="E8" s="1087"/>
      <c r="F8" s="1087"/>
      <c r="G8" s="1087"/>
      <c r="H8" s="1087"/>
      <c r="I8" s="537"/>
      <c r="J8" s="537"/>
      <c r="K8" s="537"/>
      <c r="L8" s="537"/>
      <c r="M8" s="537"/>
      <c r="N8" s="537"/>
      <c r="O8" s="537"/>
      <c r="P8" s="537"/>
      <c r="Q8" s="537"/>
      <c r="R8" s="537"/>
    </row>
    <row r="9" spans="1:18" ht="21.75" customHeight="1">
      <c r="A9" s="537"/>
      <c r="B9" s="1086" t="s">
        <v>3188</v>
      </c>
      <c r="C9" s="1086"/>
      <c r="D9" s="1086"/>
      <c r="E9" s="1086"/>
      <c r="F9" s="1086"/>
      <c r="G9" s="1086"/>
      <c r="H9" s="1086"/>
      <c r="I9" s="537"/>
      <c r="J9" s="537"/>
      <c r="K9" s="537"/>
      <c r="L9" s="537"/>
      <c r="M9" s="537"/>
      <c r="N9" s="537"/>
      <c r="O9" s="537"/>
      <c r="P9" s="537"/>
      <c r="Q9" s="537"/>
      <c r="R9" s="537"/>
    </row>
    <row r="10" spans="1:18" ht="27.75" customHeight="1">
      <c r="A10" s="537"/>
      <c r="B10" s="1082" t="s">
        <v>2435</v>
      </c>
      <c r="C10" s="1082"/>
      <c r="D10" s="1082"/>
      <c r="E10" s="1082"/>
      <c r="F10" s="1082"/>
      <c r="G10" s="1082"/>
      <c r="H10" s="1082"/>
      <c r="I10" s="537"/>
      <c r="J10" s="537"/>
      <c r="K10" s="537"/>
      <c r="L10" s="537"/>
      <c r="M10" s="537"/>
      <c r="N10" s="537"/>
      <c r="O10" s="537"/>
      <c r="P10" s="537"/>
      <c r="Q10" s="537"/>
      <c r="R10" s="537"/>
    </row>
    <row r="11" spans="1:18" ht="16.5" customHeight="1">
      <c r="A11" s="537"/>
      <c r="B11" s="539" t="s">
        <v>2397</v>
      </c>
      <c r="C11" s="1080" t="s">
        <v>2436</v>
      </c>
      <c r="D11" s="1080"/>
      <c r="E11" s="1080"/>
      <c r="F11" s="1080"/>
      <c r="G11" s="1080"/>
      <c r="H11" s="1080"/>
      <c r="I11" s="537"/>
      <c r="J11" s="537"/>
      <c r="K11" s="537"/>
      <c r="L11" s="537"/>
      <c r="M11" s="537"/>
      <c r="N11" s="537"/>
      <c r="O11" s="537"/>
      <c r="P11" s="537"/>
      <c r="Q11" s="537"/>
      <c r="R11" s="537"/>
    </row>
    <row r="12" spans="1:18">
      <c r="A12" s="537"/>
      <c r="B12" s="537"/>
      <c r="C12" s="540" t="s">
        <v>2077</v>
      </c>
      <c r="D12" s="1079" t="s">
        <v>2437</v>
      </c>
      <c r="E12" s="1079"/>
      <c r="F12" s="1079"/>
      <c r="G12" s="1079"/>
      <c r="H12" s="1079"/>
      <c r="I12" s="537"/>
      <c r="J12" s="537"/>
      <c r="K12" s="537"/>
      <c r="L12" s="537"/>
      <c r="M12" s="537"/>
      <c r="N12" s="537"/>
      <c r="O12" s="537"/>
      <c r="P12" s="537"/>
      <c r="Q12" s="537"/>
      <c r="R12" s="537"/>
    </row>
    <row r="13" spans="1:18">
      <c r="A13" s="537"/>
      <c r="B13" s="537"/>
      <c r="C13" s="540" t="s">
        <v>2077</v>
      </c>
      <c r="D13" s="1079" t="s">
        <v>2438</v>
      </c>
      <c r="E13" s="1079"/>
      <c r="F13" s="1079"/>
      <c r="G13" s="1079"/>
      <c r="H13" s="1079"/>
      <c r="I13" s="537"/>
      <c r="J13" s="537"/>
      <c r="K13" s="537"/>
      <c r="L13" s="537"/>
      <c r="M13" s="537"/>
      <c r="N13" s="537"/>
      <c r="O13" s="537"/>
      <c r="P13" s="537"/>
      <c r="Q13" s="537"/>
      <c r="R13" s="537"/>
    </row>
    <row r="14" spans="1:18">
      <c r="A14" s="537"/>
      <c r="B14" s="539" t="s">
        <v>2397</v>
      </c>
      <c r="C14" s="1080" t="s">
        <v>3002</v>
      </c>
      <c r="D14" s="1080"/>
      <c r="E14" s="1080"/>
      <c r="F14" s="1080"/>
      <c r="G14" s="1080"/>
      <c r="H14" s="1080"/>
      <c r="I14" s="537"/>
      <c r="J14" s="537"/>
      <c r="K14" s="537"/>
      <c r="L14" s="537"/>
      <c r="M14" s="537"/>
      <c r="N14" s="537"/>
      <c r="O14" s="537"/>
      <c r="P14" s="537"/>
      <c r="Q14" s="537"/>
      <c r="R14" s="537"/>
    </row>
    <row r="15" spans="1:18">
      <c r="A15" s="537"/>
      <c r="B15" s="537"/>
      <c r="C15" s="540" t="s">
        <v>2077</v>
      </c>
      <c r="D15" s="1079" t="s">
        <v>2439</v>
      </c>
      <c r="E15" s="1079"/>
      <c r="F15" s="1079"/>
      <c r="G15" s="1079"/>
      <c r="H15" s="1079"/>
      <c r="I15" s="537"/>
      <c r="J15" s="537"/>
      <c r="K15" s="537"/>
      <c r="L15" s="537"/>
      <c r="M15" s="537"/>
      <c r="N15" s="537"/>
      <c r="O15" s="537"/>
      <c r="P15" s="537"/>
      <c r="Q15" s="537"/>
      <c r="R15" s="537"/>
    </row>
    <row r="16" spans="1:18">
      <c r="A16" s="537"/>
      <c r="B16" s="539" t="s">
        <v>2397</v>
      </c>
      <c r="C16" s="1080" t="s">
        <v>2440</v>
      </c>
      <c r="D16" s="1080"/>
      <c r="E16" s="1080"/>
      <c r="F16" s="1080"/>
      <c r="G16" s="1080"/>
      <c r="H16" s="1080"/>
      <c r="I16" s="537"/>
      <c r="J16" s="537"/>
      <c r="K16" s="537"/>
      <c r="L16" s="537"/>
      <c r="M16" s="537"/>
      <c r="N16" s="537"/>
      <c r="O16" s="537"/>
      <c r="P16" s="537"/>
      <c r="Q16" s="537"/>
      <c r="R16" s="537"/>
    </row>
    <row r="17" spans="1:18">
      <c r="A17" s="537"/>
      <c r="B17" s="537"/>
      <c r="C17" s="540">
        <v>1</v>
      </c>
      <c r="D17" s="1079" t="s">
        <v>2441</v>
      </c>
      <c r="E17" s="1079"/>
      <c r="F17" s="1079"/>
      <c r="G17" s="1079"/>
      <c r="H17" s="1079"/>
      <c r="I17" s="537"/>
      <c r="J17" s="537"/>
      <c r="K17" s="537"/>
      <c r="L17" s="537"/>
      <c r="M17" s="537"/>
      <c r="N17" s="537"/>
      <c r="O17" s="537"/>
      <c r="P17" s="537"/>
      <c r="Q17" s="537"/>
      <c r="R17" s="537"/>
    </row>
    <row r="18" spans="1:18">
      <c r="A18" s="537"/>
      <c r="B18" s="537"/>
      <c r="C18" s="540">
        <v>2</v>
      </c>
      <c r="D18" s="1079" t="s">
        <v>2442</v>
      </c>
      <c r="E18" s="1079"/>
      <c r="F18" s="1079"/>
      <c r="G18" s="1079"/>
      <c r="H18" s="1079"/>
      <c r="I18" s="537"/>
      <c r="J18" s="537"/>
      <c r="K18" s="537"/>
      <c r="L18" s="537"/>
      <c r="M18" s="537"/>
      <c r="N18" s="537"/>
      <c r="O18" s="537"/>
      <c r="P18" s="537"/>
      <c r="Q18" s="537"/>
      <c r="R18" s="537"/>
    </row>
    <row r="19" spans="1:18">
      <c r="A19" s="537"/>
      <c r="B19" s="537"/>
      <c r="C19" s="540">
        <v>3</v>
      </c>
      <c r="D19" s="1079" t="s">
        <v>2443</v>
      </c>
      <c r="E19" s="1079"/>
      <c r="F19" s="1079"/>
      <c r="G19" s="1079"/>
      <c r="H19" s="1079"/>
      <c r="I19" s="537"/>
      <c r="J19" s="537"/>
      <c r="K19" s="537"/>
      <c r="L19" s="537"/>
      <c r="M19" s="537"/>
      <c r="N19" s="537"/>
      <c r="O19" s="537"/>
      <c r="P19" s="537"/>
      <c r="Q19" s="537"/>
      <c r="R19" s="537"/>
    </row>
    <row r="20" spans="1:18" ht="32.25" customHeight="1">
      <c r="A20" s="537"/>
      <c r="B20" s="537"/>
      <c r="C20" s="541">
        <v>4</v>
      </c>
      <c r="D20" s="1078" t="s">
        <v>2444</v>
      </c>
      <c r="E20" s="1078"/>
      <c r="F20" s="1078"/>
      <c r="G20" s="1078"/>
      <c r="H20" s="1078"/>
      <c r="I20" s="537"/>
      <c r="J20" s="537"/>
      <c r="K20" s="537"/>
      <c r="L20" s="537"/>
      <c r="M20" s="537"/>
      <c r="N20" s="537"/>
      <c r="O20" s="537"/>
      <c r="P20" s="537"/>
      <c r="Q20" s="537"/>
      <c r="R20" s="537"/>
    </row>
    <row r="21" spans="1:18" ht="15.75" customHeight="1">
      <c r="A21" s="537"/>
      <c r="B21" s="537"/>
      <c r="C21" s="541">
        <v>5</v>
      </c>
      <c r="D21" s="1078" t="s">
        <v>2445</v>
      </c>
      <c r="E21" s="1078"/>
      <c r="F21" s="1078"/>
      <c r="G21" s="1078"/>
      <c r="H21" s="1078"/>
      <c r="I21" s="537"/>
      <c r="J21" s="537"/>
      <c r="K21" s="537"/>
      <c r="L21" s="537"/>
      <c r="M21" s="537"/>
      <c r="N21" s="537"/>
      <c r="O21" s="537"/>
      <c r="P21" s="537"/>
      <c r="Q21" s="537"/>
      <c r="R21" s="537"/>
    </row>
    <row r="22" spans="1:18">
      <c r="A22" s="537"/>
      <c r="B22" s="539" t="s">
        <v>2397</v>
      </c>
      <c r="C22" s="1077" t="s">
        <v>2537</v>
      </c>
      <c r="D22" s="1077"/>
      <c r="E22" s="1077"/>
      <c r="F22" s="1077"/>
      <c r="G22" s="1077"/>
      <c r="H22" s="1077"/>
      <c r="I22" s="537"/>
      <c r="J22" s="537"/>
      <c r="K22" s="537"/>
      <c r="L22" s="537"/>
      <c r="M22" s="537"/>
      <c r="N22" s="537"/>
      <c r="O22" s="537"/>
      <c r="P22" s="537"/>
      <c r="Q22" s="537"/>
      <c r="R22" s="537"/>
    </row>
    <row r="23" spans="1:18" ht="32.25" customHeight="1">
      <c r="A23" s="537"/>
      <c r="B23" s="537"/>
      <c r="C23" s="541" t="s">
        <v>2077</v>
      </c>
      <c r="D23" s="1078" t="s">
        <v>2446</v>
      </c>
      <c r="E23" s="1078"/>
      <c r="F23" s="1078"/>
      <c r="G23" s="1078"/>
      <c r="H23" s="1078"/>
      <c r="I23" s="537"/>
      <c r="J23" s="537"/>
      <c r="K23" s="537"/>
      <c r="L23" s="537"/>
      <c r="M23" s="537"/>
      <c r="N23" s="537"/>
      <c r="O23" s="537"/>
      <c r="P23" s="537"/>
      <c r="Q23" s="537"/>
      <c r="R23" s="537"/>
    </row>
    <row r="24" spans="1:18" ht="33" customHeight="1">
      <c r="A24" s="537"/>
      <c r="B24" s="537"/>
      <c r="C24" s="541" t="s">
        <v>2077</v>
      </c>
      <c r="D24" s="1081" t="s">
        <v>2534</v>
      </c>
      <c r="E24" s="1081"/>
      <c r="F24" s="1081"/>
      <c r="G24" s="1081"/>
      <c r="H24" s="1081"/>
      <c r="I24" s="537"/>
      <c r="J24" s="537"/>
      <c r="K24" s="537"/>
      <c r="L24" s="537"/>
      <c r="M24" s="537"/>
      <c r="N24" s="537"/>
      <c r="O24" s="537"/>
      <c r="P24" s="537"/>
      <c r="Q24" s="537"/>
      <c r="R24" s="537"/>
    </row>
    <row r="25" spans="1:18">
      <c r="A25" s="537"/>
      <c r="B25" s="537"/>
      <c r="C25" s="540" t="s">
        <v>2077</v>
      </c>
      <c r="D25" s="1079" t="s">
        <v>2535</v>
      </c>
      <c r="E25" s="1079"/>
      <c r="F25" s="1079"/>
      <c r="G25" s="1079"/>
      <c r="H25" s="1079"/>
      <c r="I25" s="537"/>
      <c r="J25" s="537"/>
      <c r="K25" s="537"/>
      <c r="L25" s="537"/>
      <c r="M25" s="537"/>
      <c r="N25" s="537"/>
      <c r="O25" s="537"/>
      <c r="P25" s="537"/>
      <c r="Q25" s="537"/>
      <c r="R25" s="537"/>
    </row>
    <row r="26" spans="1:18">
      <c r="A26" s="537"/>
      <c r="B26" s="537"/>
      <c r="C26" s="540" t="s">
        <v>2077</v>
      </c>
      <c r="D26" s="1079" t="s">
        <v>2536</v>
      </c>
      <c r="E26" s="1079"/>
      <c r="F26" s="1079"/>
      <c r="G26" s="1079"/>
      <c r="H26" s="1079"/>
      <c r="I26" s="537"/>
      <c r="J26" s="537"/>
      <c r="K26" s="537"/>
      <c r="L26" s="537"/>
      <c r="M26" s="537"/>
      <c r="N26" s="537"/>
      <c r="O26" s="537"/>
      <c r="P26" s="537"/>
      <c r="Q26" s="537"/>
      <c r="R26" s="537"/>
    </row>
    <row r="27" spans="1:18">
      <c r="A27" s="537"/>
      <c r="B27" s="537"/>
      <c r="C27" s="537"/>
      <c r="D27" s="537"/>
      <c r="E27" s="537"/>
      <c r="F27" s="537"/>
      <c r="G27" s="537"/>
      <c r="H27" s="537"/>
      <c r="I27" s="537"/>
      <c r="J27" s="537"/>
      <c r="K27" s="537"/>
      <c r="L27" s="537"/>
      <c r="M27" s="537"/>
      <c r="N27" s="537"/>
      <c r="O27" s="537"/>
      <c r="P27" s="537"/>
      <c r="Q27" s="537"/>
      <c r="R27" s="537"/>
    </row>
    <row r="28" spans="1:18" ht="15.75">
      <c r="A28" s="537"/>
      <c r="B28" s="1082" t="s">
        <v>2539</v>
      </c>
      <c r="C28" s="1082"/>
      <c r="D28" s="1082"/>
      <c r="E28" s="1082"/>
      <c r="F28" s="1082"/>
      <c r="G28" s="1082"/>
      <c r="H28" s="1082"/>
      <c r="I28" s="537"/>
      <c r="J28" s="537"/>
      <c r="K28" s="537"/>
      <c r="L28" s="537"/>
      <c r="M28" s="537"/>
      <c r="N28" s="537"/>
      <c r="O28" s="537"/>
      <c r="P28" s="537"/>
      <c r="Q28" s="537"/>
      <c r="R28" s="537"/>
    </row>
    <row r="29" spans="1:18">
      <c r="A29" s="537"/>
      <c r="B29" s="539" t="str">
        <f>IF('Getting Started'!B203="","",'Getting Started'!B203)</f>
        <v xml:space="preserve">* </v>
      </c>
      <c r="C29" s="1079" t="str">
        <f>IF('Getting Started'!C203="","",'Getting Started'!C203)</f>
        <v xml:space="preserve">Print button does not work in pre-2016 versions of Excel </v>
      </c>
      <c r="D29" s="1079"/>
      <c r="E29" s="1079"/>
      <c r="F29" s="1079"/>
      <c r="G29" s="1079"/>
      <c r="H29" s="1079"/>
      <c r="I29" s="537"/>
      <c r="J29" s="537"/>
      <c r="K29" s="537"/>
      <c r="L29" s="537"/>
      <c r="M29" s="537"/>
      <c r="N29" s="537"/>
      <c r="O29" s="537"/>
      <c r="P29" s="537"/>
      <c r="Q29" s="537"/>
      <c r="R29" s="537"/>
    </row>
    <row r="30" spans="1:18" ht="15" customHeight="1">
      <c r="A30" s="537"/>
      <c r="B30" s="539" t="str">
        <f>IF('Getting Started'!B204="","",'Getting Started'!B204)</f>
        <v/>
      </c>
      <c r="C30" s="1079" t="str">
        <f>IF('Getting Started'!C204="","",'Getting Started'!C204)</f>
        <v>- Temporary Solution:  Print using the Excel Tool Bar:  File / Print</v>
      </c>
      <c r="D30" s="1079"/>
      <c r="E30" s="1079"/>
      <c r="F30" s="1079"/>
      <c r="G30" s="1079"/>
      <c r="H30" s="1079"/>
      <c r="I30" s="537"/>
      <c r="J30" s="537"/>
      <c r="K30" s="537"/>
      <c r="L30" s="537"/>
      <c r="M30" s="537"/>
      <c r="N30" s="537"/>
      <c r="O30" s="537"/>
      <c r="P30" s="537"/>
      <c r="Q30" s="537"/>
      <c r="R30" s="537"/>
    </row>
    <row r="31" spans="1:18" ht="15" customHeight="1">
      <c r="A31" s="537"/>
      <c r="B31" s="539" t="str">
        <f>IF('Getting Started'!B205="","",'Getting Started'!B205)</f>
        <v/>
      </c>
      <c r="C31" s="1079" t="str">
        <f>IF('Getting Started'!C205="","",'Getting Started'!C205)</f>
        <v>- We plan to fix this issue.  Stay tuned -- and thanks for your patience.</v>
      </c>
      <c r="D31" s="1079"/>
      <c r="E31" s="1079"/>
      <c r="F31" s="1079"/>
      <c r="G31" s="1079"/>
      <c r="H31" s="1079"/>
      <c r="I31" s="537"/>
      <c r="J31" s="537"/>
      <c r="K31" s="537"/>
      <c r="L31" s="537"/>
      <c r="M31" s="537"/>
      <c r="N31" s="537"/>
      <c r="O31" s="537"/>
      <c r="P31" s="537"/>
      <c r="Q31" s="537"/>
      <c r="R31" s="537"/>
    </row>
    <row r="32" spans="1:18">
      <c r="A32" s="537"/>
      <c r="B32" s="539" t="str">
        <f>IF('Getting Started'!B206="","",'Getting Started'!B206)</f>
        <v xml:space="preserve">* </v>
      </c>
      <c r="C32" s="1079" t="str">
        <f>IF('Getting Started'!C206="","",'Getting Started'!C206)</f>
        <v>This tool is not compatible with Excel for Mac</v>
      </c>
      <c r="D32" s="1079"/>
      <c r="E32" s="1079"/>
      <c r="F32" s="1079"/>
      <c r="G32" s="1079"/>
      <c r="H32" s="1079"/>
      <c r="I32" s="537"/>
      <c r="J32" s="537"/>
      <c r="K32" s="537"/>
      <c r="L32" s="537"/>
      <c r="M32" s="537"/>
      <c r="N32" s="537"/>
      <c r="O32" s="537"/>
      <c r="P32" s="537"/>
      <c r="Q32" s="537"/>
      <c r="R32" s="537"/>
    </row>
    <row r="33" spans="1:18" ht="15" customHeight="1">
      <c r="A33" s="537"/>
      <c r="B33" s="539" t="str">
        <f>IF('Getting Started'!B207="","",'Getting Started'!B207)</f>
        <v/>
      </c>
      <c r="C33" s="1079" t="str">
        <f>IF('Getting Started'!C207="","",'Getting Started'!C207)</f>
        <v>- Sorry, we do not have plans to develop a Mac compatible tool.</v>
      </c>
      <c r="D33" s="1079"/>
      <c r="E33" s="1079"/>
      <c r="F33" s="1079"/>
      <c r="G33" s="1079"/>
      <c r="H33" s="1079"/>
      <c r="I33" s="537"/>
      <c r="J33" s="537"/>
      <c r="K33" s="537"/>
      <c r="L33" s="537"/>
      <c r="M33" s="537"/>
      <c r="N33" s="537"/>
      <c r="O33" s="537"/>
      <c r="P33" s="537"/>
      <c r="Q33" s="537"/>
      <c r="R33" s="537"/>
    </row>
    <row r="34" spans="1:18">
      <c r="A34" s="537"/>
      <c r="B34" s="539"/>
      <c r="C34" s="1079" t="str">
        <f>IF('Getting Started'!B209="","",'Getting Started'!B209)</f>
        <v>This tool is compatible with Office 365  -- How to unblock macros</v>
      </c>
      <c r="D34" s="1079"/>
      <c r="E34" s="1079"/>
      <c r="F34" s="1079"/>
      <c r="G34" s="1079"/>
      <c r="H34" s="1079"/>
      <c r="I34" s="537"/>
      <c r="J34" s="537"/>
      <c r="K34" s="537"/>
      <c r="L34" s="537"/>
      <c r="M34" s="537"/>
      <c r="N34" s="537"/>
      <c r="O34" s="537"/>
      <c r="P34" s="537"/>
      <c r="Q34" s="537"/>
      <c r="R34" s="537"/>
    </row>
    <row r="35" spans="1:18" ht="37.5" customHeight="1">
      <c r="A35" s="537"/>
      <c r="B35" s="1031" t="str">
        <f>IF('Getting Started'!B209="","",'Getting Started'!B209)</f>
        <v>This tool is compatible with Office 365  -- How to unblock macros</v>
      </c>
      <c r="C35" s="1030"/>
      <c r="D35" s="1030"/>
      <c r="E35" s="1030"/>
      <c r="F35" s="1030"/>
      <c r="G35" s="1030"/>
      <c r="H35" s="1030"/>
      <c r="I35" s="537"/>
      <c r="J35" s="537"/>
      <c r="K35" s="537"/>
      <c r="L35" s="537"/>
      <c r="M35" s="537"/>
      <c r="N35" s="537"/>
      <c r="O35" s="537"/>
      <c r="P35" s="537"/>
      <c r="Q35" s="537"/>
      <c r="R35" s="537"/>
    </row>
    <row r="36" spans="1:18">
      <c r="A36" s="537"/>
      <c r="B36" s="539" t="str">
        <f>IF('Getting Started'!B210="","",'Getting Started'!B210)</f>
        <v>*</v>
      </c>
      <c r="C36" s="1079" t="str">
        <f>IF('Getting Started'!C210="","",'Getting Started'!C210)</f>
        <v>However, it will not work if you open the calculator within Microsoft Edge.  Save the file to your local drive.</v>
      </c>
      <c r="D36" s="1079"/>
      <c r="E36" s="1079"/>
      <c r="F36" s="1079"/>
      <c r="G36" s="1079"/>
      <c r="H36" s="1079"/>
      <c r="I36" s="537"/>
      <c r="J36" s="537"/>
      <c r="K36" s="537"/>
      <c r="L36" s="537"/>
      <c r="M36" s="537"/>
      <c r="N36" s="537"/>
      <c r="O36" s="537"/>
      <c r="P36" s="537"/>
      <c r="Q36" s="537"/>
      <c r="R36" s="537"/>
    </row>
    <row r="37" spans="1:18" ht="34.5" customHeight="1">
      <c r="A37" s="537"/>
      <c r="B37" s="539" t="str">
        <f>IF('Getting Started'!B211="","",'Getting Started'!B211)</f>
        <v>*</v>
      </c>
      <c r="C37" s="1081" t="str">
        <f>IF('Getting Started'!C211="","",'Getting Started'!C211)</f>
        <v>Enabling macros requires that you change the properties of the file to unblock macros.   Follow the instructions in the link that comes up when you try to open the file.</v>
      </c>
      <c r="D37" s="1081"/>
      <c r="E37" s="1081"/>
      <c r="F37" s="1081"/>
      <c r="G37" s="1081"/>
      <c r="H37" s="1081"/>
      <c r="I37" s="537"/>
      <c r="J37" s="537"/>
      <c r="K37" s="537"/>
      <c r="L37" s="537"/>
      <c r="M37" s="537"/>
      <c r="N37" s="537"/>
      <c r="O37" s="537"/>
      <c r="P37" s="537"/>
      <c r="Q37" s="537"/>
      <c r="R37" s="537"/>
    </row>
    <row r="38" spans="1:18">
      <c r="A38" s="537"/>
      <c r="B38" s="539" t="str">
        <f>IF('Getting Started'!B212="","",'Getting Started'!B212)</f>
        <v>*</v>
      </c>
      <c r="C38" s="1079" t="str">
        <f>IF('Getting Started'!C212="","",'Getting Started'!C212)</f>
        <v>Here is a screenshot of Microsoft's instructions for modifying the file properties.</v>
      </c>
      <c r="D38" s="1079"/>
      <c r="E38" s="1079"/>
      <c r="F38" s="1079"/>
      <c r="G38" s="1079"/>
      <c r="H38" s="1079"/>
      <c r="I38" s="537"/>
      <c r="J38" s="537"/>
      <c r="K38" s="537"/>
      <c r="L38" s="537"/>
      <c r="M38" s="537"/>
      <c r="N38" s="537"/>
      <c r="O38" s="537"/>
      <c r="P38" s="537"/>
      <c r="Q38" s="537"/>
      <c r="R38" s="537"/>
    </row>
    <row r="39" spans="1:18">
      <c r="A39" s="537"/>
      <c r="B39" s="539" t="str">
        <f>IF('Getting Started'!B213="","",'Getting Started'!B213)</f>
        <v/>
      </c>
      <c r="C39" s="1079" t="str">
        <f>IF('Getting Started'!C214="","",'Getting Started'!C214)</f>
        <v/>
      </c>
      <c r="D39" s="1079"/>
      <c r="E39" s="1079"/>
      <c r="F39" s="1079"/>
      <c r="G39" s="1079"/>
      <c r="H39" s="1079"/>
      <c r="I39" s="537"/>
      <c r="J39" s="537"/>
      <c r="K39" s="537"/>
      <c r="L39" s="537"/>
      <c r="M39" s="537"/>
      <c r="N39" s="537"/>
      <c r="O39" s="537"/>
      <c r="P39" s="537"/>
      <c r="Q39" s="537"/>
      <c r="R39" s="537"/>
    </row>
    <row r="40" spans="1:18" ht="279" customHeight="1">
      <c r="A40" s="537"/>
      <c r="B40" s="539" t="str">
        <f>IF('Getting Started'!B214="","",'Getting Started'!B214)</f>
        <v/>
      </c>
      <c r="C40" s="1079" t="str">
        <f>IF('Getting Started'!C215="","",'Getting Started'!C215)</f>
        <v/>
      </c>
      <c r="D40" s="1079"/>
      <c r="E40" s="1079"/>
      <c r="F40" s="1079"/>
      <c r="G40" s="1079"/>
      <c r="H40" s="1079"/>
      <c r="I40" s="537"/>
      <c r="J40" s="537"/>
      <c r="K40" s="537"/>
      <c r="L40" s="537"/>
      <c r="M40" s="537"/>
      <c r="N40" s="537"/>
      <c r="O40" s="537"/>
      <c r="P40" s="537"/>
      <c r="Q40" s="537"/>
      <c r="R40" s="537"/>
    </row>
    <row r="41" spans="1:18">
      <c r="A41" s="537"/>
      <c r="B41" s="539" t="str">
        <f>IF('Getting Started'!B215="","",'Getting Started'!B215)</f>
        <v/>
      </c>
      <c r="C41" s="1079" t="str">
        <f>IF('Getting Started'!C216="","",'Getting Started'!C216)</f>
        <v/>
      </c>
      <c r="D41" s="1079"/>
      <c r="E41" s="1079"/>
      <c r="F41" s="1079"/>
      <c r="G41" s="1079"/>
      <c r="H41" s="1079"/>
      <c r="I41" s="537"/>
      <c r="J41" s="537"/>
      <c r="K41" s="537"/>
      <c r="L41" s="537"/>
      <c r="M41" s="537"/>
      <c r="N41" s="537"/>
      <c r="O41" s="537"/>
      <c r="P41" s="537"/>
      <c r="Q41" s="537"/>
      <c r="R41" s="537"/>
    </row>
    <row r="42" spans="1:18">
      <c r="A42" s="537"/>
      <c r="B42" s="537"/>
      <c r="C42" s="1079"/>
      <c r="D42" s="1079"/>
      <c r="E42" s="1079"/>
      <c r="F42" s="1079"/>
      <c r="G42" s="1079"/>
      <c r="H42" s="1079"/>
      <c r="I42" s="537"/>
      <c r="J42" s="537"/>
      <c r="K42" s="537"/>
      <c r="L42" s="537"/>
      <c r="M42" s="537"/>
      <c r="N42" s="537"/>
      <c r="O42" s="537"/>
      <c r="P42" s="537"/>
      <c r="Q42" s="537"/>
      <c r="R42" s="537"/>
    </row>
    <row r="43" spans="1:18">
      <c r="A43" s="537"/>
      <c r="B43" s="537"/>
      <c r="C43" s="598"/>
      <c r="D43" s="598"/>
      <c r="E43" s="598"/>
      <c r="F43" s="598"/>
      <c r="G43" s="598"/>
      <c r="H43" s="598"/>
      <c r="I43" s="537"/>
      <c r="J43" s="537"/>
      <c r="K43" s="537"/>
      <c r="L43" s="537"/>
      <c r="M43" s="537"/>
      <c r="N43" s="537"/>
      <c r="O43" s="537"/>
      <c r="P43" s="537"/>
      <c r="Q43" s="537"/>
      <c r="R43" s="537"/>
    </row>
    <row r="44" spans="1:18">
      <c r="A44" s="537"/>
      <c r="B44" s="537"/>
      <c r="C44" s="598"/>
      <c r="D44" s="598"/>
      <c r="E44" s="598"/>
      <c r="F44" s="598"/>
      <c r="G44" s="598"/>
      <c r="H44" s="598"/>
      <c r="I44" s="537"/>
      <c r="J44" s="537"/>
      <c r="K44" s="537"/>
      <c r="L44" s="537"/>
      <c r="M44" s="537"/>
      <c r="N44" s="537"/>
      <c r="O44" s="537"/>
      <c r="P44" s="537"/>
      <c r="Q44" s="537"/>
      <c r="R44" s="537"/>
    </row>
    <row r="45" spans="1:18">
      <c r="C45" s="599"/>
      <c r="D45" s="599"/>
      <c r="E45" s="599"/>
      <c r="F45" s="599"/>
      <c r="G45" s="599"/>
      <c r="H45" s="599"/>
      <c r="R45" s="537"/>
    </row>
  </sheetData>
  <sheetProtection algorithmName="SHA-512" hashValue="NR138RXY1/A1vxe/QsiL2DyoFvxoRVXEaaqvZnYe6rNti9UMoccaQE8+DI9qkXEdMywUK6Aul3aKVLLkeBpgLQ==" saltValue="3G8qVQtShlnMKVxUe2NFCg==" spinCount="100000" sheet="1" objects="1" scenarios="1" insertHyperlinks="0" pivotTables="0"/>
  <mergeCells count="39">
    <mergeCell ref="C41:H41"/>
    <mergeCell ref="C42:H42"/>
    <mergeCell ref="C36:H36"/>
    <mergeCell ref="C37:H37"/>
    <mergeCell ref="C38:H38"/>
    <mergeCell ref="C39:H39"/>
    <mergeCell ref="C40:H40"/>
    <mergeCell ref="C30:H30"/>
    <mergeCell ref="C31:H31"/>
    <mergeCell ref="C33:H33"/>
    <mergeCell ref="C32:H32"/>
    <mergeCell ref="C34:H34"/>
    <mergeCell ref="B28:H28"/>
    <mergeCell ref="C29:H29"/>
    <mergeCell ref="D26:H26"/>
    <mergeCell ref="D15:H15"/>
    <mergeCell ref="H3:L3"/>
    <mergeCell ref="B4:H4"/>
    <mergeCell ref="B5:H5"/>
    <mergeCell ref="B7:H7"/>
    <mergeCell ref="B8:H8"/>
    <mergeCell ref="B9:H9"/>
    <mergeCell ref="B10:H10"/>
    <mergeCell ref="C11:H11"/>
    <mergeCell ref="D12:H12"/>
    <mergeCell ref="D13:H13"/>
    <mergeCell ref="C14:H14"/>
    <mergeCell ref="C3:G3"/>
    <mergeCell ref="B6:H6"/>
    <mergeCell ref="C22:H22"/>
    <mergeCell ref="D23:H23"/>
    <mergeCell ref="D25:H25"/>
    <mergeCell ref="C16:H16"/>
    <mergeCell ref="D17:H17"/>
    <mergeCell ref="D18:H18"/>
    <mergeCell ref="D19:H19"/>
    <mergeCell ref="D20:H20"/>
    <mergeCell ref="D21:H21"/>
    <mergeCell ref="D24:H24"/>
  </mergeCells>
  <hyperlinks>
    <hyperlink ref="J1" location="'Terms of Use'!A1" display="(C) 2017" xr:uid="{00000000-0004-0000-0000-000000000000}"/>
    <hyperlink ref="C3:G3" r:id="rId1" display="mailto:energycode@energy.wsu.edu" xr:uid="{00000000-0004-0000-0000-000001000000}"/>
  </hyperlinks>
  <pageMargins left="0.7" right="0.7" top="0.75" bottom="0.75" header="0.3" footer="0.3"/>
  <pageSetup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ProtectToggle">
              <controlPr locked="0" defaultSize="0" print="0" autoFill="0" autoPict="0" macro="[0]!AcceptLicenseAgreement">
                <anchor moveWithCells="1">
                  <from>
                    <xdr:col>1</xdr:col>
                    <xdr:colOff>85725</xdr:colOff>
                    <xdr:row>5</xdr:row>
                    <xdr:rowOff>304800</xdr:rowOff>
                  </from>
                  <to>
                    <xdr:col>6</xdr:col>
                    <xdr:colOff>1695450</xdr:colOff>
                    <xdr:row>5</xdr:row>
                    <xdr:rowOff>771525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bout">
    <tabColor theme="6" tint="0.39997558519241921"/>
    <pageSetUpPr fitToPage="1"/>
  </sheetPr>
  <dimension ref="A1:U225"/>
  <sheetViews>
    <sheetView zoomScaleNormal="100" workbookViewId="0"/>
  </sheetViews>
  <sheetFormatPr defaultRowHeight="12.75"/>
  <cols>
    <col min="1" max="1" width="3.7109375" customWidth="1"/>
    <col min="2" max="2" width="4.42578125" customWidth="1"/>
    <col min="3" max="3" width="27.7109375" customWidth="1"/>
    <col min="4" max="4" width="15.85546875" customWidth="1"/>
    <col min="5" max="5" width="15.7109375" customWidth="1"/>
    <col min="6" max="6" width="12.140625" customWidth="1"/>
    <col min="7" max="7" width="11" customWidth="1"/>
    <col min="8" max="8" width="10.5703125" customWidth="1"/>
    <col min="9" max="9" width="15.7109375" customWidth="1"/>
    <col min="10" max="10" width="21.140625" customWidth="1"/>
    <col min="11" max="27" width="15.7109375" customWidth="1"/>
  </cols>
  <sheetData>
    <row r="1" spans="1:21" ht="30" customHeight="1">
      <c r="A1" s="1036"/>
      <c r="B1" s="485"/>
      <c r="C1" s="482" t="s">
        <v>2943</v>
      </c>
      <c r="D1" s="482"/>
      <c r="E1" s="482"/>
      <c r="F1" s="485"/>
      <c r="G1" s="485"/>
      <c r="H1" s="485"/>
      <c r="I1" s="485"/>
      <c r="J1" s="1046" t="str">
        <f>Initializing!J1</f>
        <v>(C) 2025</v>
      </c>
      <c r="K1" s="485"/>
      <c r="L1" s="485"/>
      <c r="M1" s="485"/>
      <c r="N1" s="485"/>
      <c r="O1" s="485"/>
      <c r="P1" s="485"/>
      <c r="Q1" s="485"/>
      <c r="R1" s="485"/>
      <c r="S1" s="485"/>
      <c r="T1" s="87"/>
      <c r="U1" s="87"/>
    </row>
    <row r="2" spans="1:21" ht="20.25" customHeight="1">
      <c r="A2" s="484"/>
      <c r="B2" s="484"/>
      <c r="C2" s="484" t="s">
        <v>2394</v>
      </c>
      <c r="D2" s="484"/>
      <c r="E2" s="484"/>
      <c r="F2" s="484"/>
      <c r="G2" s="484"/>
      <c r="H2" s="484"/>
      <c r="I2" s="484"/>
      <c r="J2" s="1045">
        <f>VersionDate</f>
        <v>45951.785555555558</v>
      </c>
      <c r="K2" s="484"/>
      <c r="L2" s="484"/>
      <c r="M2" s="484"/>
      <c r="N2" s="484"/>
      <c r="O2" s="484"/>
      <c r="P2" s="484"/>
      <c r="Q2" s="484"/>
      <c r="R2" s="484"/>
      <c r="S2" s="484"/>
      <c r="T2" s="87"/>
      <c r="U2" s="87"/>
    </row>
    <row r="3" spans="1:21" ht="15" customHeight="1" thickBot="1">
      <c r="A3" s="486"/>
      <c r="B3" s="486"/>
      <c r="C3" s="1115" t="s">
        <v>2529</v>
      </c>
      <c r="D3" s="1115"/>
      <c r="E3" s="1115"/>
      <c r="F3" s="1115"/>
      <c r="G3" s="486"/>
      <c r="H3" s="486"/>
      <c r="I3" s="486"/>
      <c r="J3" s="486"/>
      <c r="K3" s="486"/>
      <c r="L3" s="486"/>
      <c r="M3" s="486"/>
      <c r="N3" s="486"/>
      <c r="O3" s="486"/>
      <c r="P3" s="486"/>
      <c r="Q3" s="486"/>
      <c r="R3" s="486"/>
      <c r="S3" s="486"/>
      <c r="T3" s="87"/>
      <c r="U3" s="87"/>
    </row>
    <row r="4" spans="1:21" ht="19.5" customHeight="1">
      <c r="A4" s="87"/>
      <c r="B4" s="87"/>
      <c r="C4" s="487" t="str">
        <f>IF(MacroMessage="","",MacroMessage)</f>
        <v>ENABLE MACROS: Macros must be enabled for this tool to function properly.</v>
      </c>
      <c r="D4" s="488"/>
      <c r="E4" s="488"/>
      <c r="F4" s="488"/>
      <c r="G4" s="488"/>
      <c r="H4" s="488"/>
      <c r="I4" s="488"/>
      <c r="J4" s="87"/>
      <c r="K4" s="87"/>
      <c r="L4" s="87"/>
      <c r="M4" s="87"/>
      <c r="N4" s="87"/>
      <c r="O4" s="87"/>
      <c r="P4" s="87"/>
      <c r="Q4" s="87"/>
      <c r="R4" s="87"/>
      <c r="S4" s="87"/>
      <c r="T4" s="87"/>
      <c r="U4" s="87"/>
    </row>
    <row r="5" spans="1:21" ht="33" customHeight="1">
      <c r="A5" s="87"/>
      <c r="B5" s="87"/>
      <c r="C5" s="1128" t="str">
        <f>IF(IntroMessage2="","",Initializing!B8)</f>
        <v>Office 365 Users:  Save this file to your LOCAL drive.  To unblock macros, follow the instructions on the Unblocking Macros tab.</v>
      </c>
      <c r="D5" s="1128"/>
      <c r="E5" s="1128"/>
      <c r="F5" s="1128"/>
      <c r="G5" s="1128"/>
      <c r="H5" s="1128"/>
      <c r="I5" s="1128"/>
      <c r="J5" s="87"/>
      <c r="K5" s="87"/>
      <c r="L5" s="87"/>
      <c r="M5" s="87"/>
      <c r="N5" s="87"/>
      <c r="O5" s="87"/>
      <c r="P5" s="87"/>
      <c r="Q5" s="87"/>
      <c r="R5" s="87"/>
      <c r="S5" s="87"/>
      <c r="T5" s="87"/>
      <c r="U5" s="87"/>
    </row>
    <row r="6" spans="1:21">
      <c r="A6" s="87"/>
      <c r="B6" s="87"/>
      <c r="C6" s="87"/>
      <c r="D6" s="87"/>
      <c r="E6" s="87"/>
      <c r="F6" s="87"/>
      <c r="G6" s="87"/>
      <c r="H6" s="87"/>
      <c r="I6" s="87"/>
      <c r="J6" s="87"/>
      <c r="K6" s="87"/>
      <c r="L6" s="87"/>
      <c r="M6" s="87"/>
      <c r="N6" s="87"/>
      <c r="O6" s="87"/>
      <c r="P6" s="87"/>
      <c r="Q6" s="87"/>
      <c r="R6" s="87"/>
      <c r="S6" s="87"/>
      <c r="T6" s="87"/>
      <c r="U6" s="87"/>
    </row>
    <row r="7" spans="1:21">
      <c r="A7" s="87"/>
      <c r="B7" s="87"/>
      <c r="C7" s="87"/>
      <c r="D7" s="87"/>
      <c r="E7" s="87"/>
      <c r="F7" s="87"/>
      <c r="G7" s="87"/>
      <c r="H7" s="87"/>
      <c r="I7" s="87"/>
      <c r="J7" s="87"/>
      <c r="K7" s="87"/>
      <c r="L7" s="87"/>
      <c r="M7" s="87"/>
      <c r="N7" s="87"/>
      <c r="O7" s="87"/>
      <c r="P7" s="87"/>
      <c r="Q7" s="87"/>
      <c r="R7" s="87"/>
      <c r="S7" s="87"/>
      <c r="T7" s="87"/>
      <c r="U7" s="87"/>
    </row>
    <row r="8" spans="1:21">
      <c r="A8" s="87"/>
      <c r="B8" s="87"/>
      <c r="C8" s="87"/>
      <c r="D8" s="87"/>
      <c r="E8" s="87"/>
      <c r="F8" s="87"/>
      <c r="G8" s="87"/>
      <c r="H8" s="87"/>
      <c r="I8" s="87"/>
      <c r="J8" s="87"/>
      <c r="K8" s="87"/>
      <c r="L8" s="87"/>
      <c r="M8" s="87"/>
      <c r="N8" s="87"/>
      <c r="O8" s="87"/>
      <c r="P8" s="87"/>
      <c r="Q8" s="87"/>
      <c r="R8" s="87"/>
      <c r="S8" s="87"/>
      <c r="T8" s="87"/>
      <c r="U8" s="87"/>
    </row>
    <row r="9" spans="1:21">
      <c r="A9" s="87"/>
      <c r="B9" s="87"/>
      <c r="C9" s="87"/>
      <c r="D9" s="87"/>
      <c r="E9" s="87"/>
      <c r="F9" s="87"/>
      <c r="G9" s="87"/>
      <c r="H9" s="87"/>
      <c r="I9" s="87"/>
      <c r="J9" s="87"/>
      <c r="K9" s="87"/>
      <c r="L9" s="87"/>
      <c r="M9" s="87"/>
      <c r="N9" s="87"/>
      <c r="O9" s="87"/>
      <c r="P9" s="87"/>
      <c r="Q9" s="87"/>
      <c r="R9" s="87"/>
      <c r="S9" s="87"/>
      <c r="T9" s="87"/>
      <c r="U9" s="87"/>
    </row>
    <row r="10" spans="1:21" ht="23.25" customHeight="1">
      <c r="A10" s="87"/>
      <c r="B10" s="1100" t="s">
        <v>2395</v>
      </c>
      <c r="C10" s="1100"/>
      <c r="D10" s="1100"/>
      <c r="E10" s="1100"/>
      <c r="F10" s="1100"/>
      <c r="G10" s="1100"/>
      <c r="H10" s="1100"/>
      <c r="I10" s="1100"/>
      <c r="J10" s="87"/>
      <c r="K10" s="87"/>
      <c r="L10" s="87"/>
      <c r="M10" s="87"/>
      <c r="N10" s="87"/>
      <c r="O10" s="87"/>
      <c r="P10" s="87"/>
      <c r="Q10" s="87"/>
      <c r="R10" s="87"/>
      <c r="S10" s="87"/>
      <c r="T10" s="87"/>
      <c r="U10" s="87"/>
    </row>
    <row r="11" spans="1:21" ht="66.75" customHeight="1">
      <c r="A11" s="87"/>
      <c r="B11" s="1123" t="s">
        <v>2955</v>
      </c>
      <c r="C11" s="1117"/>
      <c r="D11" s="1117"/>
      <c r="E11" s="1117"/>
      <c r="F11" s="1117"/>
      <c r="G11" s="1117"/>
      <c r="H11" s="1117"/>
      <c r="I11" s="1117"/>
      <c r="J11" s="87"/>
      <c r="K11" s="87"/>
      <c r="L11" s="87"/>
      <c r="M11" s="87"/>
      <c r="N11" s="87"/>
      <c r="O11" s="87"/>
      <c r="P11" s="87"/>
      <c r="Q11" s="87"/>
      <c r="R11" s="87"/>
      <c r="S11" s="87"/>
      <c r="T11" s="87"/>
      <c r="U11" s="87"/>
    </row>
    <row r="12" spans="1:21" ht="64.5" customHeight="1">
      <c r="A12" s="87"/>
      <c r="B12" s="1116" t="s">
        <v>3003</v>
      </c>
      <c r="C12" s="1117"/>
      <c r="D12" s="1117"/>
      <c r="E12" s="1117"/>
      <c r="F12" s="1117"/>
      <c r="G12" s="1117"/>
      <c r="H12" s="1117"/>
      <c r="I12" s="1117"/>
      <c r="J12" s="87"/>
      <c r="K12" s="87"/>
      <c r="L12" s="87"/>
      <c r="M12" s="87"/>
      <c r="N12" s="87"/>
      <c r="O12" s="87"/>
      <c r="P12" s="87"/>
      <c r="Q12" s="87"/>
      <c r="R12" s="87"/>
      <c r="S12" s="87"/>
      <c r="T12" s="87"/>
      <c r="U12" s="87"/>
    </row>
    <row r="13" spans="1:21" ht="47.25" customHeight="1">
      <c r="A13" s="87"/>
      <c r="C13" s="1105" t="s">
        <v>2401</v>
      </c>
      <c r="D13" s="1106"/>
      <c r="E13" s="1106"/>
      <c r="F13" s="1106"/>
      <c r="G13" s="1106"/>
      <c r="H13" s="1107"/>
      <c r="I13" s="489"/>
      <c r="J13" s="87"/>
      <c r="K13" s="87"/>
      <c r="L13" s="87"/>
      <c r="M13" s="87"/>
      <c r="N13" s="87"/>
      <c r="O13" s="87"/>
      <c r="P13" s="87"/>
      <c r="Q13" s="87"/>
      <c r="R13" s="87"/>
      <c r="S13" s="87"/>
      <c r="T13" s="87"/>
      <c r="U13" s="87"/>
    </row>
    <row r="14" spans="1:21" ht="18" customHeight="1">
      <c r="A14" s="87"/>
      <c r="B14" s="1103" t="s">
        <v>1370</v>
      </c>
      <c r="C14" s="1104"/>
      <c r="D14" s="1104"/>
      <c r="E14" s="1104"/>
      <c r="F14" s="1104"/>
      <c r="G14" s="1104"/>
      <c r="H14" s="1104"/>
      <c r="I14" s="1104"/>
      <c r="J14" s="87"/>
      <c r="K14" s="87"/>
      <c r="L14" s="87"/>
      <c r="M14" s="87"/>
      <c r="N14" s="87"/>
      <c r="O14" s="87"/>
      <c r="P14" s="87"/>
      <c r="Q14" s="87"/>
      <c r="R14" s="87"/>
      <c r="S14" s="87"/>
      <c r="T14" s="87"/>
      <c r="U14" s="87"/>
    </row>
    <row r="15" spans="1:21" ht="12.75" customHeight="1">
      <c r="A15" s="87"/>
      <c r="B15" s="504" t="s">
        <v>2397</v>
      </c>
      <c r="C15" s="87" t="s">
        <v>2404</v>
      </c>
      <c r="D15" s="1108" t="s">
        <v>2402</v>
      </c>
      <c r="E15" s="1108"/>
      <c r="F15" s="1108"/>
      <c r="G15" s="1108"/>
      <c r="H15" s="1108"/>
      <c r="I15" s="1108"/>
      <c r="J15" s="87"/>
      <c r="K15" s="87"/>
      <c r="L15" s="87"/>
      <c r="M15" s="87"/>
      <c r="N15" s="87"/>
      <c r="O15" s="87"/>
      <c r="P15" s="87"/>
      <c r="Q15" s="87"/>
      <c r="R15" s="87"/>
      <c r="S15" s="87"/>
      <c r="T15" s="87"/>
      <c r="U15" s="87"/>
    </row>
    <row r="16" spans="1:21" ht="15.75">
      <c r="A16" s="87"/>
      <c r="B16" s="504" t="s">
        <v>2397</v>
      </c>
      <c r="C16" s="503" t="s">
        <v>2956</v>
      </c>
      <c r="D16" s="1108" t="s">
        <v>2957</v>
      </c>
      <c r="E16" s="1098"/>
      <c r="F16" s="1098"/>
      <c r="G16" s="1098"/>
      <c r="H16" s="1098"/>
      <c r="I16" s="1098"/>
      <c r="J16" s="87"/>
      <c r="K16" s="87"/>
      <c r="L16" s="87"/>
      <c r="M16" s="87"/>
      <c r="N16" s="87"/>
      <c r="O16" s="87"/>
      <c r="P16" s="87"/>
      <c r="Q16" s="87"/>
      <c r="R16" s="87"/>
      <c r="S16" s="87"/>
      <c r="T16" s="87"/>
      <c r="U16" s="87"/>
    </row>
    <row r="17" spans="1:21" ht="15.75">
      <c r="A17" s="87"/>
      <c r="B17" s="504" t="s">
        <v>2397</v>
      </c>
      <c r="C17" s="87" t="s">
        <v>2453</v>
      </c>
      <c r="D17" s="1108" t="s">
        <v>2411</v>
      </c>
      <c r="E17" s="1098"/>
      <c r="F17" s="1098"/>
      <c r="G17" s="1098"/>
      <c r="H17" s="1098"/>
      <c r="I17" s="1098"/>
      <c r="J17" s="87"/>
      <c r="K17" s="87"/>
      <c r="L17" s="87"/>
      <c r="M17" s="87"/>
      <c r="N17" s="87"/>
      <c r="O17" s="87"/>
      <c r="P17" s="87"/>
      <c r="Q17" s="87"/>
      <c r="R17" s="87"/>
      <c r="S17" s="87"/>
      <c r="T17" s="87"/>
      <c r="U17" s="87"/>
    </row>
    <row r="18" spans="1:21" ht="15.75">
      <c r="A18" s="87"/>
      <c r="B18" s="504" t="s">
        <v>2397</v>
      </c>
      <c r="C18" s="503" t="s">
        <v>2958</v>
      </c>
      <c r="D18" s="1109" t="s">
        <v>2960</v>
      </c>
      <c r="E18" s="1110"/>
      <c r="F18" s="1110"/>
      <c r="G18" s="1110"/>
      <c r="H18" s="1110"/>
      <c r="I18" s="1110"/>
      <c r="J18" s="87"/>
      <c r="K18" s="87"/>
      <c r="L18" s="87"/>
      <c r="M18" s="87"/>
      <c r="N18" s="87"/>
      <c r="O18" s="87"/>
      <c r="P18" s="87"/>
      <c r="Q18" s="87"/>
      <c r="R18" s="87"/>
      <c r="S18" s="87"/>
      <c r="T18" s="87"/>
      <c r="U18" s="87"/>
    </row>
    <row r="19" spans="1:21" ht="15.75">
      <c r="A19" s="87"/>
      <c r="B19" s="504" t="s">
        <v>2397</v>
      </c>
      <c r="C19" s="87" t="s">
        <v>2403</v>
      </c>
      <c r="D19" s="1108" t="s">
        <v>2414</v>
      </c>
      <c r="E19" s="1098"/>
      <c r="F19" s="1098"/>
      <c r="G19" s="1098"/>
      <c r="H19" s="1098"/>
      <c r="I19" s="1098"/>
      <c r="J19" s="87"/>
      <c r="K19" s="87"/>
      <c r="L19" s="87"/>
      <c r="M19" s="87"/>
      <c r="N19" s="87"/>
      <c r="O19" s="87"/>
      <c r="P19" s="87"/>
      <c r="Q19" s="87"/>
      <c r="R19" s="87"/>
      <c r="S19" s="87"/>
      <c r="T19" s="87"/>
      <c r="U19" s="87"/>
    </row>
    <row r="20" spans="1:21" ht="15.75">
      <c r="A20" s="87"/>
      <c r="B20" s="504" t="s">
        <v>2397</v>
      </c>
      <c r="C20" s="503" t="s">
        <v>2413</v>
      </c>
      <c r="D20" s="1108" t="s">
        <v>2412</v>
      </c>
      <c r="E20" s="1098"/>
      <c r="F20" s="1098"/>
      <c r="G20" s="1098"/>
      <c r="H20" s="1098"/>
      <c r="I20" s="1098"/>
      <c r="J20" s="87"/>
      <c r="K20" s="87"/>
      <c r="L20" s="87"/>
      <c r="M20" s="87"/>
      <c r="N20" s="87"/>
      <c r="O20" s="87"/>
      <c r="P20" s="87"/>
      <c r="Q20" s="87"/>
      <c r="R20" s="87"/>
      <c r="S20" s="87"/>
      <c r="T20" s="87"/>
      <c r="U20" s="87"/>
    </row>
    <row r="21" spans="1:21" ht="15.75" customHeight="1">
      <c r="A21" s="87"/>
      <c r="B21" s="504" t="s">
        <v>2397</v>
      </c>
      <c r="C21" s="503" t="s">
        <v>2454</v>
      </c>
      <c r="D21" s="1095" t="s">
        <v>2455</v>
      </c>
      <c r="E21" s="1095"/>
      <c r="F21" s="1095"/>
      <c r="G21" s="1095"/>
      <c r="H21" s="1095"/>
      <c r="I21" s="1095"/>
      <c r="J21" s="87"/>
      <c r="K21" s="87"/>
      <c r="L21" s="87"/>
      <c r="M21" s="87"/>
      <c r="N21" s="87"/>
      <c r="O21" s="87"/>
      <c r="P21" s="87"/>
      <c r="Q21" s="87"/>
      <c r="R21" s="87"/>
      <c r="S21" s="87"/>
      <c r="T21" s="87"/>
      <c r="U21" s="87"/>
    </row>
    <row r="22" spans="1:21" ht="15.75">
      <c r="A22" s="87"/>
      <c r="B22" s="504" t="s">
        <v>2397</v>
      </c>
      <c r="C22" s="87" t="s">
        <v>2406</v>
      </c>
      <c r="D22" s="1108" t="s">
        <v>2405</v>
      </c>
      <c r="E22" s="1098"/>
      <c r="F22" s="1098"/>
      <c r="G22" s="1098"/>
      <c r="H22" s="1098"/>
      <c r="I22" s="1098"/>
      <c r="J22" s="87"/>
      <c r="K22" s="87"/>
      <c r="L22" s="87"/>
      <c r="M22" s="87"/>
      <c r="N22" s="87"/>
      <c r="O22" s="87"/>
      <c r="P22" s="87"/>
      <c r="Q22" s="87"/>
      <c r="R22" s="87"/>
      <c r="S22" s="87"/>
      <c r="T22" s="87"/>
      <c r="U22" s="87"/>
    </row>
    <row r="23" spans="1:21" ht="24.75" customHeight="1">
      <c r="A23" s="87"/>
      <c r="B23" s="1096" t="s">
        <v>2530</v>
      </c>
      <c r="C23" s="1096"/>
      <c r="D23" s="1096"/>
      <c r="E23" s="1096"/>
      <c r="F23" s="1096"/>
      <c r="G23" s="1096"/>
      <c r="H23" s="1096"/>
      <c r="I23" s="1096"/>
      <c r="J23" s="87"/>
      <c r="K23" s="87"/>
      <c r="L23" s="87"/>
      <c r="M23" s="87"/>
      <c r="N23" s="87"/>
      <c r="O23" s="87"/>
      <c r="P23" s="87"/>
      <c r="Q23" s="87"/>
      <c r="R23" s="87"/>
      <c r="S23" s="87"/>
      <c r="T23" s="87"/>
      <c r="U23" s="87"/>
    </row>
    <row r="24" spans="1:21" ht="15">
      <c r="A24" s="87"/>
      <c r="B24" s="1118" t="s">
        <v>2532</v>
      </c>
      <c r="C24" s="1117"/>
      <c r="D24" s="1117"/>
      <c r="E24" s="1117"/>
      <c r="F24" s="1117"/>
      <c r="G24" s="1117"/>
      <c r="H24" s="1117"/>
      <c r="I24" s="1117"/>
      <c r="J24" s="87"/>
      <c r="K24" s="87"/>
      <c r="L24" s="87"/>
      <c r="M24" s="87"/>
      <c r="N24" s="87"/>
      <c r="O24" s="87"/>
      <c r="P24" s="87"/>
      <c r="Q24" s="87"/>
      <c r="R24" s="87"/>
      <c r="S24" s="87"/>
      <c r="T24" s="87"/>
      <c r="U24" s="87"/>
    </row>
    <row r="25" spans="1:21" ht="15">
      <c r="A25" s="87"/>
      <c r="B25" s="570"/>
      <c r="C25" s="1119" t="s">
        <v>2531</v>
      </c>
      <c r="D25" s="1119"/>
      <c r="E25" s="1119"/>
      <c r="F25" s="1119"/>
      <c r="G25" s="570"/>
      <c r="H25" s="570"/>
      <c r="I25" s="570"/>
      <c r="J25" s="87"/>
      <c r="K25" s="87"/>
      <c r="L25" s="87"/>
      <c r="M25" s="87"/>
      <c r="N25" s="87"/>
      <c r="O25" s="87"/>
      <c r="P25" s="87"/>
      <c r="Q25" s="87"/>
      <c r="R25" s="87"/>
      <c r="S25" s="87"/>
      <c r="T25" s="87"/>
      <c r="U25" s="87"/>
    </row>
    <row r="26" spans="1:21" ht="24.75" customHeight="1">
      <c r="A26" s="87"/>
      <c r="B26" s="1096" t="s">
        <v>2399</v>
      </c>
      <c r="C26" s="1096"/>
      <c r="D26" s="1096"/>
      <c r="E26" s="1096"/>
      <c r="F26" s="1096"/>
      <c r="G26" s="1096"/>
      <c r="H26" s="1096"/>
      <c r="I26" s="1096"/>
      <c r="J26" s="87"/>
      <c r="K26" s="87"/>
      <c r="L26" s="87"/>
      <c r="M26" s="87"/>
      <c r="N26" s="87"/>
      <c r="O26" s="87"/>
      <c r="P26" s="87"/>
      <c r="Q26" s="87"/>
      <c r="R26" s="87"/>
      <c r="S26" s="87"/>
      <c r="T26" s="87"/>
      <c r="U26" s="87"/>
    </row>
    <row r="27" spans="1:21" ht="19.5" customHeight="1">
      <c r="A27" s="87"/>
      <c r="B27" s="1103" t="s">
        <v>3160</v>
      </c>
      <c r="C27" s="1104"/>
      <c r="D27" s="1104"/>
      <c r="E27" s="1104"/>
      <c r="F27" s="1104"/>
      <c r="G27" s="1104"/>
      <c r="H27" s="1104"/>
      <c r="I27" s="1104"/>
      <c r="J27" s="87"/>
      <c r="K27" s="87"/>
      <c r="L27" s="87"/>
      <c r="M27" s="87"/>
      <c r="N27" s="87"/>
      <c r="O27" s="87"/>
      <c r="P27" s="87"/>
      <c r="Q27" s="87"/>
      <c r="R27" s="87"/>
      <c r="S27" s="87"/>
      <c r="T27" s="87"/>
      <c r="U27" s="87"/>
    </row>
    <row r="28" spans="1:21" ht="55.5" customHeight="1">
      <c r="A28" s="87"/>
      <c r="B28" s="490" t="s">
        <v>2397</v>
      </c>
      <c r="C28" s="1098" t="s">
        <v>3163</v>
      </c>
      <c r="D28" s="1098"/>
      <c r="E28" s="1098"/>
      <c r="F28" s="1098"/>
      <c r="G28" s="1098"/>
      <c r="H28" s="1098"/>
      <c r="I28" s="1098"/>
      <c r="J28" s="87"/>
      <c r="K28" s="87"/>
      <c r="L28" s="87"/>
      <c r="M28" s="87"/>
      <c r="N28" s="87"/>
      <c r="O28" s="87"/>
      <c r="P28" s="87"/>
      <c r="Q28" s="87"/>
      <c r="R28" s="87"/>
      <c r="S28" s="87"/>
      <c r="T28" s="87"/>
      <c r="U28" s="87"/>
    </row>
    <row r="29" spans="1:21" ht="58.5" customHeight="1">
      <c r="A29" s="87"/>
      <c r="B29" s="490"/>
      <c r="C29" s="1091" t="s">
        <v>3155</v>
      </c>
      <c r="D29" s="1091"/>
      <c r="E29" s="1091"/>
      <c r="F29" s="1091"/>
      <c r="G29" s="1091"/>
      <c r="H29" s="1091"/>
      <c r="I29" s="1091"/>
      <c r="J29" s="87"/>
      <c r="K29" s="87"/>
      <c r="L29" s="87"/>
      <c r="M29" s="87"/>
      <c r="N29" s="87"/>
      <c r="O29" s="87"/>
      <c r="P29" s="87"/>
      <c r="Q29" s="87"/>
      <c r="R29" s="87"/>
      <c r="S29" s="87"/>
      <c r="T29" s="87"/>
      <c r="U29" s="87"/>
    </row>
    <row r="30" spans="1:21" ht="21.75" customHeight="1">
      <c r="A30" s="87"/>
      <c r="B30" s="1103" t="s">
        <v>3156</v>
      </c>
      <c r="C30" s="1104"/>
      <c r="D30" s="1104"/>
      <c r="E30" s="1104"/>
      <c r="F30" s="1104"/>
      <c r="G30" s="1104"/>
      <c r="H30" s="1104"/>
      <c r="I30" s="1104"/>
      <c r="J30" s="87"/>
      <c r="K30" s="87"/>
      <c r="L30" s="87"/>
      <c r="M30" s="87"/>
      <c r="N30" s="87"/>
      <c r="O30" s="87"/>
      <c r="P30" s="87"/>
      <c r="Q30" s="87"/>
      <c r="R30" s="87"/>
      <c r="S30" s="87"/>
      <c r="T30" s="87"/>
      <c r="U30" s="87"/>
    </row>
    <row r="31" spans="1:21" ht="53.25" customHeight="1">
      <c r="A31" s="87"/>
      <c r="B31" s="490" t="s">
        <v>2397</v>
      </c>
      <c r="C31" s="1098" t="s">
        <v>3157</v>
      </c>
      <c r="D31" s="1098"/>
      <c r="E31" s="1098"/>
      <c r="F31" s="1098"/>
      <c r="G31" s="1098"/>
      <c r="H31" s="1098"/>
      <c r="I31" s="1098"/>
      <c r="J31" s="87"/>
      <c r="K31" s="87"/>
      <c r="L31" s="87"/>
      <c r="M31" s="87"/>
      <c r="N31" s="87"/>
      <c r="O31" s="87"/>
      <c r="P31" s="87"/>
      <c r="Q31" s="87"/>
      <c r="R31" s="87"/>
      <c r="S31" s="87"/>
      <c r="T31" s="87"/>
      <c r="U31" s="87"/>
    </row>
    <row r="32" spans="1:21" ht="69" customHeight="1">
      <c r="A32" s="87"/>
      <c r="B32" s="490"/>
      <c r="C32" s="1091" t="s">
        <v>3158</v>
      </c>
      <c r="D32" s="1091"/>
      <c r="E32" s="1091"/>
      <c r="F32" s="1091"/>
      <c r="G32" s="1091"/>
      <c r="H32" s="1091"/>
      <c r="I32" s="1091"/>
      <c r="J32" s="87"/>
      <c r="K32" s="87"/>
      <c r="L32" s="87"/>
      <c r="M32" s="87"/>
      <c r="N32" s="87"/>
      <c r="O32" s="87"/>
      <c r="P32" s="87"/>
      <c r="Q32" s="87"/>
      <c r="R32" s="87"/>
      <c r="S32" s="87"/>
      <c r="T32" s="87"/>
      <c r="U32" s="87"/>
    </row>
    <row r="33" spans="1:21" ht="18" customHeight="1">
      <c r="A33" s="87"/>
      <c r="B33" s="490"/>
      <c r="C33" s="1091" t="s">
        <v>2784</v>
      </c>
      <c r="D33" s="1091"/>
      <c r="E33" s="1091"/>
      <c r="F33" s="1091"/>
      <c r="G33" s="1091"/>
      <c r="H33" s="1091"/>
      <c r="I33" s="1091"/>
      <c r="J33" s="87"/>
      <c r="K33" s="87"/>
      <c r="L33" s="87"/>
      <c r="M33" s="87"/>
      <c r="N33" s="87"/>
      <c r="O33" s="87"/>
      <c r="P33" s="87"/>
      <c r="Q33" s="87"/>
      <c r="R33" s="87"/>
      <c r="S33" s="87"/>
      <c r="T33" s="87"/>
      <c r="U33" s="87"/>
    </row>
    <row r="34" spans="1:21" ht="18" customHeight="1">
      <c r="A34" s="87"/>
      <c r="B34" s="1103" t="s">
        <v>3159</v>
      </c>
      <c r="C34" s="1104"/>
      <c r="D34" s="1104"/>
      <c r="E34" s="1104"/>
      <c r="F34" s="1104"/>
      <c r="G34" s="1104"/>
      <c r="H34" s="1104"/>
      <c r="I34" s="1104"/>
      <c r="J34" s="87"/>
      <c r="K34" s="87"/>
      <c r="L34" s="87"/>
      <c r="M34" s="87"/>
      <c r="N34" s="87"/>
      <c r="O34" s="87"/>
      <c r="P34" s="87"/>
      <c r="Q34" s="87"/>
      <c r="R34" s="87"/>
      <c r="S34" s="87"/>
      <c r="T34" s="87"/>
      <c r="U34" s="87"/>
    </row>
    <row r="35" spans="1:21" ht="55.5" customHeight="1">
      <c r="A35" s="87"/>
      <c r="B35" s="490" t="s">
        <v>2397</v>
      </c>
      <c r="C35" s="1098" t="s">
        <v>3161</v>
      </c>
      <c r="D35" s="1098"/>
      <c r="E35" s="1098"/>
      <c r="F35" s="1098"/>
      <c r="G35" s="1098"/>
      <c r="H35" s="1098"/>
      <c r="I35" s="1098"/>
      <c r="J35" s="87"/>
      <c r="K35" s="87"/>
      <c r="L35" s="87"/>
      <c r="M35" s="87"/>
      <c r="N35" s="87"/>
      <c r="O35" s="87"/>
      <c r="P35" s="87"/>
      <c r="Q35" s="87"/>
      <c r="R35" s="87"/>
      <c r="S35" s="87"/>
      <c r="T35" s="87"/>
      <c r="U35" s="87"/>
    </row>
    <row r="36" spans="1:21" ht="30.75" customHeight="1">
      <c r="A36" s="87"/>
      <c r="B36" s="490"/>
      <c r="C36" s="1091" t="s">
        <v>3162</v>
      </c>
      <c r="D36" s="1091"/>
      <c r="E36" s="1091"/>
      <c r="F36" s="1091"/>
      <c r="G36" s="1091"/>
      <c r="H36" s="1091"/>
      <c r="I36" s="1091"/>
      <c r="J36" s="87"/>
      <c r="K36" s="87"/>
      <c r="L36" s="87"/>
      <c r="M36" s="87"/>
      <c r="N36" s="87"/>
      <c r="O36" s="87"/>
      <c r="P36" s="87"/>
      <c r="Q36" s="87"/>
      <c r="R36" s="87"/>
      <c r="S36" s="87"/>
      <c r="T36" s="87"/>
      <c r="U36" s="87"/>
    </row>
    <row r="37" spans="1:21" ht="16.5" customHeight="1">
      <c r="A37" s="87"/>
      <c r="B37" s="490"/>
      <c r="C37" s="1091" t="s">
        <v>3164</v>
      </c>
      <c r="D37" s="1091"/>
      <c r="E37" s="1091"/>
      <c r="F37" s="1091"/>
      <c r="G37" s="1091"/>
      <c r="H37" s="1091"/>
      <c r="I37" s="1091"/>
      <c r="J37" s="87"/>
      <c r="K37" s="87"/>
      <c r="L37" s="87"/>
      <c r="M37" s="87"/>
      <c r="N37" s="87"/>
      <c r="O37" s="87"/>
      <c r="P37" s="87"/>
      <c r="Q37" s="87"/>
      <c r="R37" s="87"/>
      <c r="S37" s="87"/>
      <c r="T37" s="87"/>
      <c r="U37" s="87"/>
    </row>
    <row r="38" spans="1:21" ht="55.5" customHeight="1">
      <c r="A38" s="87"/>
      <c r="B38" s="490" t="s">
        <v>2397</v>
      </c>
      <c r="C38" s="1098" t="s">
        <v>2400</v>
      </c>
      <c r="D38" s="1098"/>
      <c r="E38" s="1098"/>
      <c r="F38" s="1098"/>
      <c r="G38" s="1098"/>
      <c r="H38" s="1098"/>
      <c r="I38" s="1098"/>
      <c r="J38" s="87"/>
      <c r="K38" s="87"/>
      <c r="L38" s="87"/>
      <c r="M38" s="87"/>
      <c r="N38" s="87"/>
      <c r="O38" s="87"/>
      <c r="P38" s="87"/>
      <c r="Q38" s="87"/>
      <c r="R38" s="87"/>
      <c r="S38" s="87"/>
      <c r="T38" s="87"/>
      <c r="U38" s="87"/>
    </row>
    <row r="39" spans="1:21" ht="39.75" customHeight="1">
      <c r="A39" s="87"/>
      <c r="B39" s="490" t="s">
        <v>2397</v>
      </c>
      <c r="C39" s="1098" t="s">
        <v>2478</v>
      </c>
      <c r="D39" s="1098"/>
      <c r="E39" s="1098"/>
      <c r="F39" s="1098"/>
      <c r="G39" s="1098"/>
      <c r="H39" s="1098"/>
      <c r="I39" s="1098"/>
      <c r="J39" s="87"/>
      <c r="K39" s="87"/>
      <c r="L39" s="87"/>
      <c r="M39" s="87"/>
      <c r="N39" s="87"/>
      <c r="O39" s="87"/>
      <c r="P39" s="87"/>
      <c r="Q39" s="87"/>
      <c r="R39" s="87"/>
      <c r="S39" s="87"/>
      <c r="T39" s="87"/>
      <c r="U39" s="87"/>
    </row>
    <row r="40" spans="1:21" ht="21" customHeight="1">
      <c r="A40" s="87"/>
      <c r="B40" s="490"/>
      <c r="C40" s="559" t="s">
        <v>2479</v>
      </c>
      <c r="D40" s="1095" t="s">
        <v>2477</v>
      </c>
      <c r="E40" s="1095"/>
      <c r="F40" s="1095"/>
      <c r="G40" s="543"/>
      <c r="H40" s="543"/>
      <c r="I40" s="543"/>
      <c r="J40" s="87"/>
      <c r="K40" s="87"/>
      <c r="L40" s="87"/>
      <c r="M40" s="87"/>
      <c r="N40" s="87"/>
      <c r="O40" s="87"/>
      <c r="P40" s="87"/>
      <c r="Q40" s="87"/>
      <c r="R40" s="87"/>
      <c r="S40" s="87"/>
      <c r="T40" s="87"/>
      <c r="U40" s="87"/>
    </row>
    <row r="41" spans="1:21" ht="27.75" customHeight="1">
      <c r="A41" s="87"/>
      <c r="B41" s="1098" t="s">
        <v>2783</v>
      </c>
      <c r="C41" s="1099"/>
      <c r="D41" s="1099"/>
      <c r="E41" s="1099"/>
      <c r="F41" s="1099"/>
      <c r="G41" s="1099"/>
      <c r="H41" s="1099"/>
      <c r="I41" s="1099"/>
      <c r="J41" s="87"/>
      <c r="K41" s="87"/>
      <c r="L41" s="87"/>
      <c r="M41" s="87"/>
      <c r="N41" s="87"/>
      <c r="O41" s="87"/>
      <c r="P41" s="87"/>
      <c r="Q41" s="87"/>
      <c r="R41" s="87"/>
      <c r="S41" s="87"/>
      <c r="T41" s="87"/>
      <c r="U41" s="87"/>
    </row>
    <row r="42" spans="1:21" ht="32.25" customHeight="1">
      <c r="A42" s="87"/>
      <c r="B42" s="490" t="s">
        <v>2397</v>
      </c>
      <c r="C42" s="1098" t="s">
        <v>2959</v>
      </c>
      <c r="D42" s="1098"/>
      <c r="E42" s="1098"/>
      <c r="F42" s="1098"/>
      <c r="G42" s="1098"/>
      <c r="H42" s="1098"/>
      <c r="I42" s="1098"/>
      <c r="J42" s="87"/>
      <c r="K42" s="87"/>
      <c r="L42" s="87"/>
      <c r="M42" s="87"/>
      <c r="N42" s="87"/>
      <c r="O42" s="87"/>
      <c r="P42" s="87"/>
      <c r="Q42" s="87"/>
      <c r="R42" s="87"/>
      <c r="S42" s="87"/>
      <c r="T42" s="87"/>
      <c r="U42" s="87"/>
    </row>
    <row r="43" spans="1:21" ht="23.25" customHeight="1">
      <c r="A43" s="87"/>
      <c r="B43" s="1100" t="s">
        <v>2398</v>
      </c>
      <c r="C43" s="1100"/>
      <c r="D43" s="1100"/>
      <c r="E43" s="1100"/>
      <c r="F43" s="1100"/>
      <c r="G43" s="1100"/>
      <c r="H43" s="1100"/>
      <c r="I43" s="1100"/>
      <c r="J43" s="87"/>
      <c r="K43" s="87"/>
      <c r="L43" s="87"/>
      <c r="M43" s="87"/>
      <c r="N43" s="87"/>
      <c r="O43" s="87"/>
      <c r="P43" s="87"/>
      <c r="Q43" s="87"/>
      <c r="R43" s="87"/>
      <c r="S43" s="87"/>
      <c r="T43" s="87"/>
      <c r="U43" s="87"/>
    </row>
    <row r="44" spans="1:21" ht="18.75">
      <c r="B44" s="1096" t="s">
        <v>2415</v>
      </c>
      <c r="C44" s="1096"/>
      <c r="D44" s="1096"/>
      <c r="E44" s="1096"/>
      <c r="F44" s="1096"/>
      <c r="G44" s="1096"/>
      <c r="H44" s="1096"/>
      <c r="I44" s="1096"/>
    </row>
    <row r="45" spans="1:21" ht="56.25" customHeight="1">
      <c r="A45" s="87"/>
      <c r="B45" s="1098" t="s">
        <v>2480</v>
      </c>
      <c r="C45" s="1099"/>
      <c r="D45" s="1099"/>
      <c r="E45" s="1099"/>
      <c r="F45" s="1099"/>
      <c r="G45" s="1099"/>
      <c r="H45" s="1099"/>
      <c r="I45" s="1099"/>
      <c r="J45" s="87"/>
      <c r="K45" s="87"/>
      <c r="L45" s="87"/>
      <c r="M45" s="87"/>
      <c r="N45" s="87"/>
      <c r="O45" s="87"/>
      <c r="P45" s="87"/>
      <c r="Q45" s="87"/>
      <c r="R45" s="87"/>
      <c r="S45" s="87"/>
      <c r="T45" s="87"/>
      <c r="U45" s="87"/>
    </row>
    <row r="46" spans="1:21">
      <c r="A46" s="87"/>
      <c r="B46" s="1099"/>
      <c r="C46" s="1099"/>
      <c r="D46" s="1099"/>
      <c r="E46" s="1099"/>
      <c r="F46" s="1099"/>
      <c r="G46" s="1099"/>
      <c r="H46" s="1099"/>
      <c r="I46" s="1099"/>
      <c r="J46" s="87"/>
      <c r="K46" s="87"/>
      <c r="L46" s="87"/>
      <c r="M46" s="87"/>
      <c r="N46" s="87"/>
      <c r="O46" s="87"/>
      <c r="P46" s="87"/>
      <c r="Q46" s="87"/>
      <c r="R46" s="87"/>
      <c r="S46" s="87"/>
      <c r="T46" s="87"/>
      <c r="U46" s="87"/>
    </row>
    <row r="47" spans="1:21">
      <c r="A47" s="87"/>
      <c r="B47" s="1099"/>
      <c r="C47" s="1099"/>
      <c r="D47" s="1099"/>
      <c r="E47" s="1099"/>
      <c r="F47" s="1099"/>
      <c r="G47" s="1099"/>
      <c r="H47" s="1099"/>
      <c r="I47" s="1099"/>
      <c r="J47" s="87"/>
      <c r="K47" s="87"/>
      <c r="L47" s="87"/>
      <c r="M47" s="87"/>
      <c r="N47" s="87"/>
      <c r="O47" s="87"/>
      <c r="P47" s="87"/>
      <c r="Q47" s="87"/>
      <c r="R47" s="87"/>
      <c r="S47" s="87"/>
      <c r="T47" s="87"/>
      <c r="U47" s="87"/>
    </row>
    <row r="48" spans="1:21">
      <c r="A48" s="87"/>
      <c r="B48" s="1099"/>
      <c r="C48" s="1099"/>
      <c r="D48" s="1099"/>
      <c r="E48" s="1099"/>
      <c r="F48" s="1099"/>
      <c r="G48" s="1099"/>
      <c r="H48" s="1099"/>
      <c r="I48" s="1099"/>
      <c r="J48" s="87"/>
      <c r="K48" s="87"/>
      <c r="L48" s="87"/>
      <c r="M48" s="87"/>
      <c r="N48" s="87"/>
      <c r="O48" s="87"/>
      <c r="P48" s="87"/>
      <c r="Q48" s="87"/>
      <c r="R48" s="87"/>
      <c r="S48" s="87"/>
      <c r="T48" s="87"/>
      <c r="U48" s="87"/>
    </row>
    <row r="49" spans="1:21">
      <c r="A49" s="87"/>
      <c r="B49" s="1099"/>
      <c r="C49" s="1099"/>
      <c r="D49" s="1099"/>
      <c r="E49" s="1099"/>
      <c r="F49" s="1099"/>
      <c r="G49" s="1099"/>
      <c r="H49" s="1099"/>
      <c r="I49" s="1099"/>
      <c r="J49" s="87"/>
      <c r="K49" s="87"/>
      <c r="L49" s="87"/>
      <c r="M49" s="87"/>
      <c r="N49" s="87"/>
      <c r="O49" s="87"/>
      <c r="P49" s="87"/>
      <c r="Q49" s="87"/>
      <c r="R49" s="87"/>
      <c r="S49" s="87"/>
      <c r="T49" s="87"/>
      <c r="U49" s="87"/>
    </row>
    <row r="50" spans="1:21">
      <c r="A50" s="87"/>
      <c r="B50" s="1099"/>
      <c r="C50" s="1099"/>
      <c r="D50" s="1099"/>
      <c r="E50" s="1099"/>
      <c r="F50" s="1099"/>
      <c r="G50" s="1099"/>
      <c r="H50" s="1099"/>
      <c r="I50" s="1099"/>
      <c r="J50" s="87"/>
      <c r="K50" s="87"/>
      <c r="L50" s="87"/>
      <c r="M50" s="87"/>
      <c r="N50" s="87"/>
      <c r="O50" s="87"/>
      <c r="P50" s="87"/>
      <c r="Q50" s="87"/>
      <c r="R50" s="87"/>
      <c r="S50" s="87"/>
      <c r="T50" s="87"/>
      <c r="U50" s="87"/>
    </row>
    <row r="51" spans="1:21">
      <c r="A51" s="87"/>
      <c r="B51" s="87"/>
      <c r="C51" s="87"/>
      <c r="D51" s="87"/>
      <c r="E51" s="87"/>
      <c r="F51" s="87"/>
      <c r="G51" s="87"/>
      <c r="H51" s="87"/>
      <c r="I51" s="87"/>
      <c r="J51" s="87"/>
      <c r="K51" s="87"/>
      <c r="L51" s="87"/>
      <c r="M51" s="87"/>
      <c r="N51" s="87"/>
      <c r="O51" s="87"/>
      <c r="P51" s="87"/>
      <c r="Q51" s="87"/>
      <c r="R51" s="87"/>
      <c r="S51" s="87"/>
      <c r="T51" s="87"/>
      <c r="U51" s="87"/>
    </row>
    <row r="52" spans="1:21">
      <c r="A52" s="87"/>
      <c r="B52" s="87"/>
      <c r="C52" s="87"/>
      <c r="D52" s="87"/>
      <c r="E52" s="87"/>
      <c r="F52" s="87"/>
      <c r="G52" s="87"/>
      <c r="H52" s="87"/>
      <c r="I52" s="87"/>
      <c r="J52" s="87"/>
      <c r="K52" s="87"/>
      <c r="L52" s="87"/>
      <c r="M52" s="87"/>
      <c r="N52" s="87"/>
      <c r="O52" s="87"/>
      <c r="P52" s="87"/>
      <c r="Q52" s="87"/>
      <c r="R52" s="87"/>
      <c r="S52" s="87"/>
      <c r="T52" s="87"/>
      <c r="U52" s="87"/>
    </row>
    <row r="53" spans="1:21">
      <c r="A53" s="87"/>
      <c r="B53" s="87"/>
      <c r="C53" s="87"/>
      <c r="D53" s="87"/>
      <c r="E53" s="87"/>
      <c r="F53" s="87"/>
      <c r="G53" s="87"/>
      <c r="H53" s="87"/>
      <c r="I53" s="87"/>
    </row>
    <row r="54" spans="1:21">
      <c r="A54" s="87"/>
      <c r="B54" s="87"/>
      <c r="C54" s="87"/>
      <c r="D54" s="87"/>
      <c r="E54" s="87"/>
      <c r="F54" s="87"/>
      <c r="G54" s="87"/>
      <c r="H54" s="87"/>
      <c r="I54" s="87"/>
      <c r="J54" s="87"/>
      <c r="K54" s="87"/>
      <c r="L54" s="87"/>
      <c r="M54" s="87"/>
      <c r="N54" s="87"/>
      <c r="O54" s="87"/>
      <c r="P54" s="87"/>
      <c r="Q54" s="87"/>
      <c r="R54" s="87"/>
      <c r="S54" s="87"/>
      <c r="T54" s="87"/>
      <c r="U54" s="87"/>
    </row>
    <row r="55" spans="1:21" ht="30.75" customHeight="1">
      <c r="A55" s="87"/>
      <c r="B55" s="1094" t="s">
        <v>2426</v>
      </c>
      <c r="C55" s="1094"/>
      <c r="D55" s="1094"/>
      <c r="E55" s="1094"/>
      <c r="F55" s="1094"/>
      <c r="G55" s="1094"/>
      <c r="H55" s="1094"/>
      <c r="I55" s="1094"/>
      <c r="J55" s="87"/>
      <c r="K55" s="87"/>
      <c r="L55" s="87"/>
      <c r="M55" s="87"/>
      <c r="N55" s="87"/>
      <c r="O55" s="87"/>
      <c r="P55" s="87"/>
      <c r="Q55" s="87"/>
      <c r="R55" s="87"/>
      <c r="S55" s="87"/>
      <c r="T55" s="87"/>
      <c r="U55" s="87"/>
    </row>
    <row r="56" spans="1:21">
      <c r="A56" s="87"/>
      <c r="B56" s="87"/>
      <c r="C56" s="87"/>
      <c r="D56" s="87"/>
      <c r="E56" s="87"/>
      <c r="F56" s="87"/>
      <c r="G56" s="87"/>
      <c r="H56" s="87"/>
      <c r="I56" s="87"/>
      <c r="J56" s="87"/>
      <c r="K56" s="87"/>
      <c r="L56" s="87"/>
      <c r="M56" s="87"/>
      <c r="N56" s="87"/>
      <c r="O56" s="87"/>
      <c r="P56" s="87"/>
      <c r="Q56" s="87"/>
      <c r="R56" s="87"/>
      <c r="S56" s="87"/>
      <c r="T56" s="87"/>
      <c r="U56" s="87"/>
    </row>
    <row r="57" spans="1:21" ht="15.75">
      <c r="A57" s="87"/>
      <c r="B57" s="1102" t="s">
        <v>2482</v>
      </c>
      <c r="C57" s="1102"/>
      <c r="D57" s="1102"/>
      <c r="E57" s="1102"/>
      <c r="F57" s="1102"/>
      <c r="G57" s="1102"/>
      <c r="H57" s="1102"/>
      <c r="I57" s="1102"/>
      <c r="J57" s="87"/>
      <c r="K57" s="87"/>
      <c r="L57" s="87"/>
      <c r="M57" s="87"/>
      <c r="N57" s="87"/>
      <c r="O57" s="87"/>
      <c r="P57" s="87"/>
      <c r="Q57" s="87"/>
      <c r="R57" s="87"/>
      <c r="S57" s="87"/>
      <c r="T57" s="87"/>
      <c r="U57" s="87"/>
    </row>
    <row r="58" spans="1:21" ht="19.5" customHeight="1">
      <c r="A58" s="87"/>
      <c r="B58" s="1121" t="s">
        <v>3165</v>
      </c>
      <c r="C58" s="1122"/>
      <c r="D58" s="1122"/>
      <c r="E58" s="1122"/>
      <c r="F58" s="1122"/>
      <c r="G58" s="1122"/>
      <c r="H58" s="1122"/>
      <c r="I58" s="1122"/>
      <c r="J58" s="87"/>
      <c r="K58" s="87"/>
      <c r="L58" s="87"/>
      <c r="M58" s="87"/>
      <c r="N58" s="87"/>
      <c r="O58" s="87"/>
      <c r="P58" s="87"/>
      <c r="Q58" s="87"/>
      <c r="R58" s="87"/>
      <c r="S58" s="87"/>
      <c r="T58" s="87"/>
      <c r="U58" s="87"/>
    </row>
    <row r="59" spans="1:21">
      <c r="A59" s="87"/>
      <c r="B59" s="87"/>
      <c r="C59" s="87"/>
      <c r="D59" s="87"/>
      <c r="E59" s="87"/>
      <c r="F59" s="87"/>
      <c r="G59" s="87"/>
      <c r="H59" s="87"/>
      <c r="I59" s="87"/>
      <c r="J59" s="87"/>
      <c r="K59" s="87"/>
      <c r="L59" s="87"/>
      <c r="M59" s="87"/>
      <c r="N59" s="87"/>
      <c r="O59" s="87"/>
      <c r="P59" s="87"/>
      <c r="Q59" s="87"/>
      <c r="R59" s="87"/>
      <c r="S59" s="87"/>
      <c r="T59" s="87"/>
      <c r="U59" s="87"/>
    </row>
    <row r="60" spans="1:21">
      <c r="A60" s="87"/>
      <c r="B60" s="87"/>
      <c r="C60" s="87"/>
      <c r="D60" s="87"/>
      <c r="E60" s="87"/>
      <c r="F60" s="87"/>
      <c r="G60" s="87"/>
      <c r="H60" s="87"/>
      <c r="I60" s="87"/>
      <c r="J60" s="87"/>
      <c r="K60" s="87"/>
      <c r="L60" s="87"/>
      <c r="M60" s="87"/>
      <c r="N60" s="87"/>
      <c r="O60" s="87"/>
      <c r="P60" s="87"/>
      <c r="Q60" s="87"/>
      <c r="R60" s="87"/>
      <c r="S60" s="87"/>
      <c r="T60" s="87"/>
      <c r="U60" s="87"/>
    </row>
    <row r="61" spans="1:21">
      <c r="A61" s="87"/>
      <c r="B61" s="87"/>
      <c r="C61" s="87"/>
      <c r="D61" s="87"/>
      <c r="E61" s="87"/>
      <c r="F61" s="87"/>
      <c r="G61" s="87"/>
      <c r="H61" s="87"/>
      <c r="I61" s="87"/>
      <c r="J61" s="87"/>
      <c r="K61" s="87"/>
      <c r="L61" s="87"/>
      <c r="M61" s="87"/>
      <c r="N61" s="87"/>
      <c r="O61" s="87"/>
      <c r="P61" s="87"/>
      <c r="Q61" s="87"/>
      <c r="R61" s="87"/>
      <c r="S61" s="87"/>
      <c r="T61" s="87"/>
      <c r="U61" s="87"/>
    </row>
    <row r="62" spans="1:21">
      <c r="A62" s="87"/>
      <c r="B62" s="87"/>
      <c r="C62" s="87"/>
      <c r="D62" s="87"/>
      <c r="E62" s="87"/>
      <c r="F62" s="87"/>
      <c r="G62" s="87"/>
      <c r="H62" s="87"/>
      <c r="I62" s="87"/>
      <c r="J62" s="87"/>
      <c r="K62" s="87"/>
      <c r="L62" s="87"/>
      <c r="M62" s="87"/>
      <c r="N62" s="87"/>
      <c r="O62" s="87"/>
      <c r="P62" s="87"/>
      <c r="Q62" s="87"/>
      <c r="R62" s="87"/>
      <c r="S62" s="87"/>
      <c r="T62" s="87"/>
      <c r="U62" s="87"/>
    </row>
    <row r="63" spans="1:21">
      <c r="A63" s="87"/>
      <c r="B63" s="87"/>
      <c r="C63" s="87"/>
      <c r="D63" s="87"/>
      <c r="E63" s="87"/>
      <c r="F63" s="87"/>
      <c r="G63" s="87"/>
      <c r="H63" s="87"/>
      <c r="I63" s="87"/>
      <c r="J63" s="87"/>
      <c r="K63" s="87"/>
      <c r="L63" s="87"/>
      <c r="M63" s="87"/>
      <c r="N63" s="87"/>
      <c r="O63" s="87"/>
      <c r="P63" s="87"/>
      <c r="Q63" s="87"/>
      <c r="R63" s="87"/>
      <c r="S63" s="87"/>
      <c r="T63" s="87"/>
      <c r="U63" s="87"/>
    </row>
    <row r="64" spans="1:21">
      <c r="A64" s="87"/>
      <c r="B64" s="87"/>
      <c r="C64" s="87"/>
      <c r="D64" s="87"/>
      <c r="E64" s="87"/>
      <c r="F64" s="87"/>
      <c r="G64" s="87"/>
      <c r="H64" s="87"/>
      <c r="I64" s="87"/>
      <c r="J64" s="87"/>
      <c r="K64" s="87"/>
      <c r="L64" s="87"/>
      <c r="M64" s="87"/>
      <c r="N64" s="87"/>
      <c r="O64" s="87"/>
      <c r="P64" s="87"/>
      <c r="Q64" s="87"/>
      <c r="R64" s="87"/>
      <c r="S64" s="87"/>
      <c r="T64" s="87"/>
      <c r="U64" s="87"/>
    </row>
    <row r="65" spans="1:21">
      <c r="A65" s="87"/>
      <c r="B65" s="503" t="s">
        <v>2419</v>
      </c>
      <c r="C65" s="87"/>
      <c r="D65" s="87"/>
      <c r="E65" s="87"/>
      <c r="F65" s="87"/>
      <c r="G65" s="87"/>
      <c r="H65" s="87"/>
      <c r="I65" s="87"/>
      <c r="J65" s="87"/>
      <c r="K65" s="87"/>
      <c r="L65" s="87"/>
      <c r="M65" s="87"/>
      <c r="N65" s="87"/>
      <c r="O65" s="87"/>
      <c r="P65" s="87"/>
      <c r="Q65" s="87"/>
      <c r="R65" s="87"/>
      <c r="S65" s="87"/>
      <c r="T65" s="87"/>
      <c r="U65" s="87"/>
    </row>
    <row r="66" spans="1:21" ht="70.5" customHeight="1">
      <c r="A66" s="87"/>
      <c r="B66" s="1111" t="s">
        <v>3166</v>
      </c>
      <c r="C66" s="1111"/>
      <c r="D66" s="1111"/>
      <c r="E66" s="1111"/>
      <c r="F66" s="1111"/>
      <c r="G66" s="1111"/>
      <c r="H66" s="1111"/>
      <c r="I66" s="1111"/>
      <c r="J66" s="87"/>
      <c r="K66" s="87"/>
      <c r="L66" s="87"/>
      <c r="M66" s="87"/>
      <c r="N66" s="87"/>
      <c r="O66" s="87"/>
      <c r="P66" s="87"/>
      <c r="Q66" s="87"/>
      <c r="R66" s="87"/>
      <c r="S66" s="87"/>
      <c r="T66" s="87"/>
      <c r="U66" s="87"/>
    </row>
    <row r="67" spans="1:21" ht="54.75" customHeight="1">
      <c r="A67" s="87"/>
      <c r="B67" s="1111" t="s">
        <v>3004</v>
      </c>
      <c r="C67" s="1111"/>
      <c r="D67" s="1111"/>
      <c r="E67" s="1111"/>
      <c r="F67" s="1111"/>
      <c r="G67" s="1111"/>
      <c r="H67" s="1111"/>
      <c r="I67" s="1111"/>
      <c r="J67" s="984"/>
      <c r="K67" s="87"/>
      <c r="L67" s="87"/>
      <c r="M67" s="87"/>
      <c r="N67" s="87"/>
      <c r="O67" s="87"/>
      <c r="P67" s="87"/>
      <c r="Q67" s="87"/>
      <c r="R67" s="87"/>
      <c r="S67" s="87"/>
      <c r="T67" s="87"/>
      <c r="U67" s="87"/>
    </row>
    <row r="68" spans="1:21" ht="59.25" customHeight="1">
      <c r="A68" s="87"/>
      <c r="B68" s="1111" t="s">
        <v>2574</v>
      </c>
      <c r="C68" s="1111"/>
      <c r="D68" s="1111"/>
      <c r="E68" s="1111"/>
      <c r="F68" s="1111"/>
      <c r="G68" s="1111"/>
      <c r="H68" s="1111"/>
      <c r="I68" s="1111"/>
      <c r="J68" s="619"/>
      <c r="K68" s="87"/>
      <c r="L68" s="87"/>
      <c r="M68" s="87"/>
      <c r="N68" s="87"/>
      <c r="O68" s="87"/>
      <c r="P68" s="87"/>
      <c r="Q68" s="87"/>
      <c r="R68" s="87"/>
      <c r="S68" s="87"/>
      <c r="T68" s="87"/>
      <c r="U68" s="87"/>
    </row>
    <row r="69" spans="1:21" ht="56.25" customHeight="1">
      <c r="A69" s="87"/>
      <c r="B69" s="1114" t="s">
        <v>3000</v>
      </c>
      <c r="C69" s="1111"/>
      <c r="D69" s="1111"/>
      <c r="E69" s="1111"/>
      <c r="F69" s="1111"/>
      <c r="G69" s="1111"/>
      <c r="H69" s="1111"/>
      <c r="I69" s="1111"/>
      <c r="J69" s="87"/>
      <c r="K69" s="87"/>
      <c r="L69" s="87"/>
      <c r="M69" s="87"/>
      <c r="N69" s="87"/>
      <c r="O69" s="87"/>
      <c r="P69" s="87"/>
      <c r="Q69" s="87"/>
      <c r="R69" s="87"/>
      <c r="S69" s="87"/>
      <c r="T69" s="87"/>
      <c r="U69" s="87"/>
    </row>
    <row r="70" spans="1:21" ht="15.75">
      <c r="A70" s="87"/>
      <c r="B70" s="1102" t="s">
        <v>2485</v>
      </c>
      <c r="C70" s="1102"/>
      <c r="D70" s="1102"/>
      <c r="E70" s="1102"/>
      <c r="F70" s="1102"/>
      <c r="G70" s="1102"/>
      <c r="H70" s="1102"/>
      <c r="I70" s="1102"/>
      <c r="J70" s="87"/>
      <c r="K70" s="87"/>
      <c r="L70" s="87"/>
      <c r="M70" s="87"/>
      <c r="N70" s="87"/>
      <c r="O70" s="87"/>
      <c r="P70" s="87"/>
      <c r="Q70" s="87"/>
      <c r="R70" s="87"/>
      <c r="S70" s="87"/>
      <c r="T70" s="87"/>
      <c r="U70" s="87"/>
    </row>
    <row r="71" spans="1:21">
      <c r="A71" s="87"/>
      <c r="B71" s="87"/>
      <c r="C71" s="87"/>
      <c r="D71" s="87"/>
      <c r="E71" s="87"/>
      <c r="F71" s="87"/>
      <c r="G71" s="87"/>
      <c r="H71" s="87"/>
      <c r="I71" s="87"/>
      <c r="J71" s="87"/>
      <c r="K71" s="87"/>
      <c r="L71" s="87"/>
      <c r="M71" s="87"/>
      <c r="N71" s="87"/>
      <c r="O71" s="87"/>
      <c r="P71" s="87"/>
      <c r="Q71" s="87"/>
      <c r="R71" s="87"/>
      <c r="S71" s="87"/>
      <c r="T71" s="87"/>
      <c r="U71" s="87"/>
    </row>
    <row r="72" spans="1:21">
      <c r="A72" s="87"/>
      <c r="B72" s="87"/>
      <c r="C72" s="87"/>
      <c r="D72" s="87"/>
      <c r="E72" s="87"/>
      <c r="F72" s="87"/>
      <c r="G72" s="87"/>
      <c r="H72" s="87"/>
      <c r="I72" s="87"/>
      <c r="J72" s="87"/>
      <c r="K72" s="87"/>
      <c r="L72" s="87"/>
      <c r="M72" s="87"/>
      <c r="N72" s="87"/>
      <c r="O72" s="87"/>
      <c r="P72" s="87"/>
      <c r="Q72" s="87"/>
      <c r="R72" s="87"/>
      <c r="S72" s="87"/>
      <c r="T72" s="87"/>
      <c r="U72" s="87"/>
    </row>
    <row r="73" spans="1:21">
      <c r="A73" s="87"/>
      <c r="B73" s="87"/>
      <c r="C73" s="87"/>
      <c r="D73" s="87"/>
      <c r="E73" s="87"/>
      <c r="F73" s="87"/>
      <c r="G73" s="87"/>
      <c r="H73" s="87"/>
      <c r="I73" s="87"/>
      <c r="J73" s="87"/>
      <c r="K73" s="87"/>
      <c r="L73" s="87"/>
      <c r="M73" s="87"/>
      <c r="N73" s="87"/>
      <c r="O73" s="87"/>
      <c r="P73" s="87"/>
      <c r="Q73" s="87"/>
      <c r="R73" s="87"/>
      <c r="S73" s="87"/>
      <c r="T73" s="87"/>
      <c r="U73" s="87"/>
    </row>
    <row r="74" spans="1:21">
      <c r="A74" s="87"/>
      <c r="B74" s="87"/>
      <c r="C74" s="87"/>
      <c r="D74" s="87"/>
      <c r="E74" s="87"/>
      <c r="F74" s="87"/>
      <c r="G74" s="87"/>
      <c r="H74" s="87"/>
      <c r="I74" s="87"/>
      <c r="J74" s="87"/>
      <c r="K74" s="87"/>
      <c r="L74" s="87"/>
      <c r="M74" s="87"/>
      <c r="N74" s="87"/>
      <c r="O74" s="87"/>
      <c r="P74" s="87"/>
      <c r="Q74" s="87"/>
      <c r="R74" s="87"/>
      <c r="S74" s="87"/>
      <c r="T74" s="87"/>
      <c r="U74" s="87"/>
    </row>
    <row r="75" spans="1:21">
      <c r="A75" s="87"/>
      <c r="B75" s="87"/>
      <c r="C75" s="87"/>
      <c r="D75" s="87"/>
      <c r="E75" s="87"/>
      <c r="F75" s="87"/>
      <c r="G75" s="87"/>
      <c r="H75" s="87"/>
      <c r="I75" s="87"/>
      <c r="J75" s="87"/>
      <c r="K75" s="87"/>
      <c r="L75" s="87"/>
      <c r="M75" s="87"/>
      <c r="N75" s="87"/>
      <c r="O75" s="87"/>
      <c r="P75" s="87"/>
      <c r="Q75" s="87"/>
      <c r="R75" s="87"/>
      <c r="S75" s="87"/>
      <c r="T75" s="87"/>
      <c r="U75" s="87"/>
    </row>
    <row r="76" spans="1:21" ht="29.25" customHeight="1">
      <c r="A76" s="87"/>
      <c r="B76" s="1111" t="s">
        <v>3005</v>
      </c>
      <c r="C76" s="1112"/>
      <c r="D76" s="1112"/>
      <c r="E76" s="1112"/>
      <c r="F76" s="1112"/>
      <c r="G76" s="1112"/>
      <c r="H76" s="1112"/>
      <c r="I76" s="1112"/>
      <c r="J76" s="87"/>
      <c r="K76" s="87"/>
      <c r="L76" s="87"/>
      <c r="M76" s="87"/>
      <c r="N76" s="87"/>
      <c r="O76" s="87"/>
      <c r="P76" s="87"/>
      <c r="Q76" s="87"/>
      <c r="R76" s="87"/>
      <c r="S76" s="87"/>
      <c r="T76" s="87"/>
      <c r="U76" s="87"/>
    </row>
    <row r="77" spans="1:21" ht="70.5" customHeight="1">
      <c r="A77" s="87"/>
      <c r="B77" s="1111" t="s">
        <v>3006</v>
      </c>
      <c r="C77" s="1112"/>
      <c r="D77" s="1112"/>
      <c r="E77" s="1112"/>
      <c r="F77" s="1112"/>
      <c r="G77" s="1112"/>
      <c r="H77" s="1112"/>
      <c r="I77" s="1112"/>
      <c r="J77" s="87"/>
      <c r="K77" s="87"/>
      <c r="L77" s="87"/>
      <c r="M77" s="87"/>
      <c r="N77" s="87"/>
      <c r="O77" s="87"/>
      <c r="P77" s="87"/>
      <c r="Q77" s="87"/>
      <c r="R77" s="87"/>
      <c r="S77" s="87"/>
      <c r="T77" s="87"/>
      <c r="U77" s="87"/>
    </row>
    <row r="78" spans="1:21" ht="46.5" customHeight="1">
      <c r="A78" s="87"/>
      <c r="B78" s="1111" t="s">
        <v>2586</v>
      </c>
      <c r="C78" s="1111"/>
      <c r="D78" s="1111"/>
      <c r="E78" s="1111"/>
      <c r="F78" s="1111"/>
      <c r="G78" s="1111"/>
      <c r="H78" s="1111"/>
      <c r="I78" s="1111"/>
      <c r="J78" s="619"/>
      <c r="K78" s="87"/>
      <c r="L78" s="87"/>
      <c r="M78" s="87"/>
      <c r="N78" s="87"/>
      <c r="O78" s="87"/>
      <c r="P78" s="87"/>
      <c r="Q78" s="87"/>
      <c r="R78" s="87"/>
      <c r="S78" s="87"/>
      <c r="T78" s="87"/>
      <c r="U78" s="87"/>
    </row>
    <row r="79" spans="1:21" ht="30" customHeight="1">
      <c r="A79" s="87"/>
      <c r="B79" s="1111" t="s">
        <v>2486</v>
      </c>
      <c r="C79" s="1112"/>
      <c r="D79" s="1112"/>
      <c r="E79" s="1112"/>
      <c r="F79" s="1112"/>
      <c r="G79" s="1112"/>
      <c r="H79" s="1112"/>
      <c r="I79" s="1112"/>
      <c r="J79" s="87"/>
      <c r="K79" s="87"/>
      <c r="L79" s="87"/>
      <c r="M79" s="87"/>
      <c r="N79" s="87"/>
      <c r="O79" s="87"/>
      <c r="P79" s="87"/>
      <c r="Q79" s="87"/>
      <c r="R79" s="87"/>
      <c r="S79" s="87"/>
      <c r="T79" s="87"/>
      <c r="U79" s="87"/>
    </row>
    <row r="80" spans="1:21" ht="19.5" customHeight="1">
      <c r="A80" s="87"/>
      <c r="B80" s="1111" t="s">
        <v>2488</v>
      </c>
      <c r="C80" s="1111"/>
      <c r="D80" s="1111"/>
      <c r="E80" s="1111"/>
      <c r="F80" s="1111"/>
      <c r="G80" s="1111"/>
      <c r="H80" s="1111"/>
      <c r="I80" s="1111"/>
      <c r="J80" s="87"/>
      <c r="K80" s="87"/>
      <c r="L80" s="87"/>
      <c r="M80" s="87"/>
      <c r="N80" s="87"/>
      <c r="O80" s="87"/>
      <c r="P80" s="87"/>
      <c r="Q80" s="87"/>
      <c r="R80" s="87"/>
      <c r="S80" s="87"/>
      <c r="T80" s="87"/>
      <c r="U80" s="87"/>
    </row>
    <row r="81" spans="1:21" ht="21" customHeight="1">
      <c r="A81" s="87"/>
      <c r="B81" s="542"/>
      <c r="C81" s="1120" t="s">
        <v>2487</v>
      </c>
      <c r="D81" s="1120"/>
      <c r="E81" s="1120"/>
      <c r="F81" s="1120"/>
      <c r="G81" s="1120"/>
      <c r="H81" s="1120"/>
      <c r="I81" s="1120"/>
      <c r="J81" s="87"/>
      <c r="K81" s="87"/>
      <c r="L81" s="87"/>
      <c r="M81" s="87"/>
      <c r="N81" s="87"/>
      <c r="O81" s="87"/>
      <c r="P81" s="87"/>
      <c r="Q81" s="87"/>
      <c r="R81" s="87"/>
      <c r="S81" s="87"/>
      <c r="T81" s="87"/>
      <c r="U81" s="87"/>
    </row>
    <row r="82" spans="1:21" ht="71.25" customHeight="1">
      <c r="A82" s="87"/>
      <c r="B82" s="1111" t="s">
        <v>2573</v>
      </c>
      <c r="C82" s="1111"/>
      <c r="D82" s="1111"/>
      <c r="E82" s="1111"/>
      <c r="F82" s="1111"/>
      <c r="G82" s="1111"/>
      <c r="H82" s="1111"/>
      <c r="I82" s="1111"/>
      <c r="J82" s="87"/>
      <c r="K82" s="87"/>
      <c r="L82" s="87"/>
      <c r="M82" s="87"/>
      <c r="N82" s="87"/>
      <c r="O82" s="87"/>
      <c r="P82" s="87"/>
      <c r="Q82" s="87"/>
      <c r="R82" s="87"/>
      <c r="S82" s="87"/>
      <c r="T82" s="87"/>
      <c r="U82" s="87"/>
    </row>
    <row r="83" spans="1:21" ht="19.5" customHeight="1">
      <c r="A83" s="87"/>
      <c r="B83" s="1111" t="s">
        <v>2489</v>
      </c>
      <c r="C83" s="1111"/>
      <c r="D83" s="1111"/>
      <c r="E83" s="1111"/>
      <c r="F83" s="1111"/>
      <c r="G83" s="1111"/>
      <c r="H83" s="1111"/>
      <c r="I83" s="1111"/>
      <c r="J83" s="87"/>
      <c r="K83" s="87"/>
      <c r="L83" s="87"/>
      <c r="M83" s="87"/>
      <c r="N83" s="87"/>
      <c r="O83" s="87"/>
      <c r="P83" s="87"/>
      <c r="Q83" s="87"/>
      <c r="R83" s="87"/>
      <c r="S83" s="87"/>
      <c r="T83" s="87"/>
      <c r="U83" s="87"/>
    </row>
    <row r="84" spans="1:21" ht="30" customHeight="1">
      <c r="A84" s="87"/>
      <c r="B84" s="1111" t="s">
        <v>2807</v>
      </c>
      <c r="C84" s="1112"/>
      <c r="D84" s="1112"/>
      <c r="E84" s="1112"/>
      <c r="F84" s="1112"/>
      <c r="G84" s="1112"/>
      <c r="H84" s="1112"/>
      <c r="I84" s="1112"/>
      <c r="J84" s="87"/>
      <c r="K84" s="87"/>
      <c r="L84" s="87"/>
      <c r="M84" s="87"/>
      <c r="N84" s="87"/>
      <c r="O84" s="87"/>
      <c r="P84" s="87"/>
      <c r="Q84" s="87"/>
      <c r="R84" s="87"/>
      <c r="S84" s="87"/>
      <c r="T84" s="87"/>
      <c r="U84" s="87"/>
    </row>
    <row r="85" spans="1:21" ht="29.25" customHeight="1">
      <c r="A85" s="87"/>
      <c r="B85" s="1111" t="s">
        <v>2808</v>
      </c>
      <c r="C85" s="1111"/>
      <c r="D85" s="1111"/>
      <c r="E85" s="1111"/>
      <c r="F85" s="1111"/>
      <c r="G85" s="1111"/>
      <c r="H85" s="1111"/>
      <c r="I85" s="1111"/>
      <c r="J85" s="87"/>
      <c r="K85" s="87"/>
      <c r="L85" s="87"/>
      <c r="M85" s="87"/>
      <c r="N85" s="87"/>
      <c r="O85" s="87"/>
      <c r="P85" s="87"/>
      <c r="Q85" s="87"/>
      <c r="R85" s="87"/>
      <c r="S85" s="87"/>
      <c r="T85" s="87"/>
      <c r="U85" s="87"/>
    </row>
    <row r="86" spans="1:21" ht="21.75" customHeight="1">
      <c r="A86" s="87"/>
      <c r="B86" s="1113" t="s">
        <v>2806</v>
      </c>
      <c r="C86" s="1113"/>
      <c r="D86" s="1113"/>
      <c r="E86" s="1113"/>
      <c r="F86" s="1113"/>
      <c r="G86" s="1113"/>
      <c r="H86" s="1113"/>
      <c r="I86" s="1113"/>
      <c r="J86" s="87"/>
      <c r="K86" s="87"/>
      <c r="L86" s="87"/>
      <c r="M86" s="87"/>
      <c r="N86" s="87"/>
      <c r="O86" s="87"/>
      <c r="P86" s="87"/>
      <c r="Q86" s="87"/>
      <c r="R86" s="87"/>
      <c r="S86" s="87"/>
      <c r="T86" s="87"/>
      <c r="U86" s="87"/>
    </row>
    <row r="87" spans="1:21" ht="15.75">
      <c r="A87" s="87"/>
      <c r="B87" s="1102" t="s">
        <v>2494</v>
      </c>
      <c r="C87" s="1102"/>
      <c r="D87" s="1102"/>
      <c r="E87" s="1102"/>
      <c r="F87" s="1102"/>
      <c r="G87" s="1102"/>
      <c r="H87" s="1102"/>
      <c r="I87" s="1102"/>
      <c r="J87" s="87"/>
      <c r="K87" s="87"/>
      <c r="L87" s="87"/>
      <c r="M87" s="87"/>
      <c r="N87" s="87"/>
      <c r="O87" s="87"/>
      <c r="P87" s="87"/>
      <c r="Q87" s="87"/>
      <c r="R87" s="87"/>
      <c r="S87" s="87"/>
      <c r="T87" s="87"/>
      <c r="U87" s="87"/>
    </row>
    <row r="88" spans="1:21">
      <c r="A88" s="87"/>
      <c r="B88" s="87"/>
      <c r="C88" s="87"/>
      <c r="D88" s="87"/>
      <c r="E88" s="87"/>
      <c r="F88" s="87"/>
      <c r="G88" s="87"/>
      <c r="H88" s="87"/>
      <c r="I88" s="87"/>
      <c r="J88" s="87"/>
      <c r="K88" s="87"/>
      <c r="L88" s="87"/>
      <c r="M88" s="87"/>
      <c r="N88" s="87"/>
      <c r="O88" s="87"/>
      <c r="P88" s="87"/>
      <c r="Q88" s="87"/>
      <c r="R88" s="87"/>
      <c r="S88" s="87"/>
      <c r="T88" s="87"/>
      <c r="U88" s="87"/>
    </row>
    <row r="89" spans="1:21">
      <c r="A89" s="87"/>
      <c r="B89" s="87"/>
      <c r="C89" s="87"/>
      <c r="D89" s="87"/>
      <c r="E89" s="87"/>
      <c r="F89" s="87"/>
      <c r="G89" s="87"/>
      <c r="H89" s="87"/>
      <c r="I89" s="87"/>
      <c r="J89" s="87"/>
      <c r="K89" s="87"/>
      <c r="L89" s="87"/>
      <c r="M89" s="87"/>
      <c r="N89" s="87"/>
      <c r="O89" s="87"/>
      <c r="P89" s="87"/>
      <c r="Q89" s="87"/>
      <c r="R89" s="87"/>
      <c r="S89" s="87"/>
      <c r="T89" s="87"/>
      <c r="U89" s="87"/>
    </row>
    <row r="90" spans="1:21">
      <c r="A90" s="87"/>
      <c r="B90" s="87"/>
      <c r="C90" s="87"/>
      <c r="D90" s="87"/>
      <c r="E90" s="87"/>
      <c r="F90" s="87"/>
      <c r="G90" s="87"/>
      <c r="H90" s="87"/>
      <c r="I90" s="87"/>
      <c r="J90" s="87"/>
      <c r="K90" s="87"/>
      <c r="L90" s="87"/>
      <c r="M90" s="87"/>
      <c r="N90" s="87"/>
      <c r="O90" s="87"/>
      <c r="P90" s="87"/>
      <c r="Q90" s="87"/>
      <c r="R90" s="87"/>
      <c r="S90" s="87"/>
      <c r="T90" s="87"/>
      <c r="U90" s="87"/>
    </row>
    <row r="91" spans="1:21">
      <c r="A91" s="87"/>
      <c r="B91" s="87"/>
      <c r="C91" s="87"/>
      <c r="D91" s="87"/>
      <c r="E91" s="87"/>
      <c r="F91" s="87"/>
      <c r="G91" s="87"/>
      <c r="H91" s="87"/>
      <c r="I91" s="87"/>
      <c r="J91" s="87"/>
      <c r="K91" s="87"/>
      <c r="L91" s="87"/>
      <c r="M91" s="87"/>
      <c r="N91" s="87"/>
      <c r="O91" s="87"/>
      <c r="P91" s="87"/>
      <c r="Q91" s="87"/>
      <c r="R91" s="87"/>
      <c r="S91" s="87"/>
      <c r="T91" s="87"/>
      <c r="U91" s="87"/>
    </row>
    <row r="92" spans="1:21">
      <c r="A92" s="87"/>
      <c r="B92" s="87"/>
      <c r="C92" s="87"/>
      <c r="D92" s="87"/>
      <c r="E92" s="87"/>
      <c r="F92" s="87"/>
      <c r="G92" s="87"/>
      <c r="H92" s="87"/>
      <c r="I92" s="87"/>
      <c r="J92" s="87"/>
      <c r="K92" s="87"/>
      <c r="L92" s="87"/>
      <c r="M92" s="87"/>
      <c r="N92" s="87"/>
      <c r="O92" s="87"/>
      <c r="P92" s="87"/>
      <c r="Q92" s="87"/>
      <c r="R92" s="87"/>
      <c r="S92" s="87"/>
      <c r="T92" s="87"/>
      <c r="U92" s="87"/>
    </row>
    <row r="93" spans="1:21" ht="28.5" customHeight="1">
      <c r="A93" s="87"/>
      <c r="B93" s="1114" t="s">
        <v>2490</v>
      </c>
      <c r="C93" s="1112"/>
      <c r="D93" s="1112"/>
      <c r="E93" s="1112"/>
      <c r="F93" s="1112"/>
      <c r="G93" s="1112"/>
      <c r="H93" s="1112"/>
      <c r="I93" s="1112"/>
      <c r="J93" s="87"/>
      <c r="K93" s="87"/>
      <c r="L93" s="87"/>
      <c r="M93" s="87"/>
      <c r="N93" s="87"/>
      <c r="O93" s="87"/>
      <c r="P93" s="87"/>
      <c r="Q93" s="87"/>
      <c r="R93" s="87"/>
      <c r="S93" s="87"/>
      <c r="T93" s="87"/>
      <c r="U93" s="87"/>
    </row>
    <row r="94" spans="1:21" ht="15.75">
      <c r="A94" s="87"/>
      <c r="B94" s="1102" t="s">
        <v>2495</v>
      </c>
      <c r="C94" s="1102"/>
      <c r="D94" s="1102"/>
      <c r="E94" s="1102"/>
      <c r="F94" s="1102"/>
      <c r="G94" s="1102"/>
      <c r="H94" s="1102"/>
      <c r="I94" s="1102"/>
      <c r="J94" s="87"/>
      <c r="K94" s="87"/>
      <c r="L94" s="87"/>
      <c r="M94" s="87"/>
      <c r="N94" s="87"/>
      <c r="O94" s="87"/>
      <c r="P94" s="87"/>
      <c r="Q94" s="87"/>
      <c r="R94" s="87"/>
      <c r="S94" s="87"/>
      <c r="T94" s="87"/>
      <c r="U94" s="87"/>
    </row>
    <row r="95" spans="1:21">
      <c r="A95" s="87"/>
      <c r="B95" s="87"/>
      <c r="C95" s="87"/>
      <c r="D95" s="87"/>
      <c r="E95" s="87"/>
      <c r="F95" s="87"/>
      <c r="G95" s="87"/>
      <c r="H95" s="87"/>
      <c r="I95" s="87"/>
      <c r="J95" s="87"/>
      <c r="K95" s="87"/>
      <c r="L95" s="87"/>
      <c r="M95" s="87"/>
      <c r="N95" s="87"/>
      <c r="O95" s="87"/>
      <c r="P95" s="87"/>
      <c r="Q95" s="87"/>
      <c r="R95" s="87"/>
      <c r="S95" s="87"/>
      <c r="T95" s="87"/>
      <c r="U95" s="87"/>
    </row>
    <row r="96" spans="1:21">
      <c r="A96" s="87"/>
      <c r="B96" s="87"/>
      <c r="C96" s="87"/>
      <c r="D96" s="87"/>
      <c r="E96" s="87"/>
      <c r="F96" s="87"/>
      <c r="G96" s="87"/>
      <c r="H96" s="87"/>
      <c r="I96" s="87"/>
      <c r="J96" s="87"/>
      <c r="K96" s="87"/>
      <c r="L96" s="87"/>
      <c r="M96" s="87"/>
      <c r="N96" s="87"/>
      <c r="O96" s="87"/>
      <c r="P96" s="87"/>
      <c r="Q96" s="87"/>
      <c r="R96" s="87"/>
      <c r="S96" s="87"/>
      <c r="T96" s="87"/>
      <c r="U96" s="87"/>
    </row>
    <row r="97" spans="1:21">
      <c r="A97" s="87"/>
      <c r="B97" s="87"/>
      <c r="C97" s="87"/>
      <c r="D97" s="87"/>
      <c r="E97" s="87"/>
      <c r="F97" s="87"/>
      <c r="G97" s="87"/>
      <c r="H97" s="87"/>
      <c r="I97" s="87"/>
      <c r="J97" s="87"/>
      <c r="K97" s="87"/>
      <c r="L97" s="87"/>
      <c r="M97" s="87"/>
      <c r="N97" s="87"/>
      <c r="O97" s="87"/>
      <c r="P97" s="87"/>
      <c r="Q97" s="87"/>
      <c r="R97" s="87"/>
      <c r="S97" s="87"/>
      <c r="T97" s="87"/>
      <c r="U97" s="87"/>
    </row>
    <row r="98" spans="1:21">
      <c r="A98" s="87"/>
      <c r="B98" s="87"/>
      <c r="C98" s="87"/>
      <c r="D98" s="87"/>
      <c r="E98" s="87"/>
      <c r="F98" s="87"/>
      <c r="G98" s="87"/>
      <c r="H98" s="87"/>
      <c r="I98" s="87"/>
      <c r="J98" s="87"/>
      <c r="K98" s="87"/>
      <c r="L98" s="87"/>
      <c r="M98" s="87"/>
      <c r="N98" s="87"/>
      <c r="O98" s="87"/>
      <c r="P98" s="87"/>
      <c r="Q98" s="87"/>
      <c r="R98" s="87"/>
      <c r="S98" s="87"/>
      <c r="T98" s="87"/>
      <c r="U98" s="87"/>
    </row>
    <row r="99" spans="1:21">
      <c r="A99" s="87"/>
      <c r="B99" s="87"/>
      <c r="C99" s="87"/>
      <c r="D99" s="87"/>
      <c r="E99" s="87"/>
      <c r="F99" s="87"/>
      <c r="G99" s="87"/>
      <c r="H99" s="87"/>
      <c r="I99" s="87"/>
      <c r="J99" s="87"/>
      <c r="K99" s="87"/>
      <c r="L99" s="87"/>
      <c r="M99" s="87"/>
      <c r="N99" s="87"/>
      <c r="O99" s="87"/>
      <c r="P99" s="87"/>
      <c r="Q99" s="87"/>
      <c r="R99" s="87"/>
      <c r="S99" s="87"/>
      <c r="T99" s="87"/>
      <c r="U99" s="87"/>
    </row>
    <row r="100" spans="1:21" ht="45" customHeight="1">
      <c r="A100" s="87"/>
      <c r="B100" s="1111" t="s">
        <v>2961</v>
      </c>
      <c r="C100" s="1112"/>
      <c r="D100" s="1112"/>
      <c r="E100" s="1112"/>
      <c r="F100" s="1112"/>
      <c r="G100" s="1112"/>
      <c r="H100" s="1112"/>
      <c r="I100" s="1112"/>
      <c r="J100" s="87"/>
      <c r="K100" s="87"/>
      <c r="L100" s="87"/>
      <c r="M100" s="87"/>
      <c r="N100" s="87"/>
      <c r="O100" s="87"/>
      <c r="P100" s="87"/>
      <c r="Q100" s="87"/>
      <c r="R100" s="87"/>
      <c r="S100" s="87"/>
      <c r="T100" s="87"/>
      <c r="U100" s="87"/>
    </row>
    <row r="101" spans="1:21">
      <c r="A101" s="87"/>
      <c r="B101" s="87"/>
      <c r="C101" s="87"/>
      <c r="D101" s="87"/>
      <c r="E101" s="87"/>
      <c r="F101" s="87"/>
      <c r="G101" s="87"/>
      <c r="H101" s="87"/>
      <c r="I101" s="87"/>
      <c r="J101" s="87"/>
      <c r="K101" s="87"/>
      <c r="L101" s="87"/>
      <c r="M101" s="87"/>
      <c r="N101" s="87"/>
      <c r="O101" s="87"/>
      <c r="P101" s="87"/>
      <c r="Q101" s="87"/>
      <c r="R101" s="87"/>
      <c r="S101" s="87"/>
      <c r="T101" s="87"/>
      <c r="U101" s="87"/>
    </row>
    <row r="102" spans="1:21" ht="18.75">
      <c r="A102" s="87"/>
      <c r="B102" s="1096" t="s">
        <v>2491</v>
      </c>
      <c r="C102" s="1096"/>
      <c r="D102" s="1096"/>
      <c r="E102" s="1096"/>
      <c r="F102" s="1096"/>
      <c r="G102" s="1096"/>
      <c r="H102" s="1096"/>
      <c r="I102" s="1096"/>
      <c r="J102" s="87"/>
      <c r="K102" s="87"/>
      <c r="L102" s="87"/>
      <c r="M102" s="87"/>
      <c r="N102" s="87"/>
      <c r="O102" s="87"/>
      <c r="P102" s="87"/>
      <c r="Q102" s="87"/>
      <c r="R102" s="87"/>
      <c r="S102" s="87"/>
      <c r="T102" s="87"/>
      <c r="U102" s="87"/>
    </row>
    <row r="103" spans="1:21" ht="15.75">
      <c r="A103" s="87"/>
      <c r="B103" s="1102" t="s">
        <v>2379</v>
      </c>
      <c r="C103" s="1102"/>
      <c r="D103" s="1102"/>
      <c r="E103" s="1102"/>
      <c r="F103" s="1102"/>
      <c r="G103" s="1102"/>
      <c r="H103" s="1102"/>
      <c r="I103" s="1102"/>
      <c r="J103" s="87"/>
      <c r="K103" s="87"/>
      <c r="L103" s="87"/>
      <c r="M103" s="87"/>
      <c r="N103" s="87"/>
      <c r="O103" s="87"/>
      <c r="P103" s="87"/>
      <c r="Q103" s="87"/>
      <c r="R103" s="87"/>
      <c r="S103" s="87"/>
      <c r="T103" s="87"/>
      <c r="U103" s="87"/>
    </row>
    <row r="104" spans="1:21" ht="35.25" customHeight="1">
      <c r="A104" s="87"/>
      <c r="B104" s="1093" t="s">
        <v>2422</v>
      </c>
      <c r="C104" s="1094"/>
      <c r="D104" s="1094"/>
      <c r="E104" s="1094"/>
      <c r="F104" s="1094"/>
      <c r="G104" s="1094"/>
      <c r="H104" s="1094"/>
      <c r="I104" s="1094"/>
      <c r="J104" s="87"/>
      <c r="K104" s="87"/>
      <c r="L104" s="87"/>
      <c r="M104" s="87"/>
      <c r="N104" s="87"/>
      <c r="O104" s="87"/>
      <c r="P104" s="87"/>
      <c r="Q104" s="87"/>
      <c r="R104" s="87"/>
      <c r="S104" s="87"/>
      <c r="T104" s="87"/>
      <c r="U104" s="87"/>
    </row>
    <row r="105" spans="1:21" ht="103.5" customHeight="1">
      <c r="A105" s="87"/>
      <c r="B105" s="542"/>
      <c r="C105" s="561"/>
      <c r="D105" s="561"/>
      <c r="E105" s="561"/>
      <c r="F105" s="561"/>
      <c r="G105" s="561"/>
      <c r="H105" s="561"/>
      <c r="I105" s="561"/>
      <c r="J105" s="87"/>
      <c r="K105" s="87"/>
      <c r="L105" s="87"/>
      <c r="M105" s="87"/>
      <c r="N105" s="87"/>
      <c r="O105" s="87"/>
      <c r="P105" s="87"/>
      <c r="Q105" s="87"/>
      <c r="R105" s="87"/>
      <c r="S105" s="87"/>
      <c r="T105" s="87"/>
      <c r="U105" s="87"/>
    </row>
    <row r="106" spans="1:21" ht="57.75" customHeight="1">
      <c r="A106" s="87"/>
      <c r="B106" s="87"/>
      <c r="C106" s="87"/>
      <c r="D106" s="87"/>
      <c r="E106" s="87"/>
      <c r="F106" s="87"/>
      <c r="G106" s="87"/>
      <c r="H106" s="87"/>
      <c r="I106" s="87"/>
      <c r="J106" s="87"/>
      <c r="K106" s="87"/>
      <c r="L106" s="87"/>
      <c r="M106" s="87"/>
      <c r="N106" s="87"/>
      <c r="O106" s="87"/>
      <c r="P106" s="87"/>
      <c r="Q106" s="87"/>
      <c r="R106" s="87"/>
      <c r="S106" s="87"/>
      <c r="T106" s="87"/>
      <c r="U106" s="87"/>
    </row>
    <row r="107" spans="1:21" ht="29.25" customHeight="1">
      <c r="A107" s="87"/>
      <c r="B107" s="1091" t="s">
        <v>2575</v>
      </c>
      <c r="C107" s="1092"/>
      <c r="D107" s="1092"/>
      <c r="E107" s="1092"/>
      <c r="F107" s="1092"/>
      <c r="G107" s="1092"/>
      <c r="H107" s="1092"/>
      <c r="I107" s="1092"/>
      <c r="J107" s="87"/>
      <c r="K107" s="87"/>
      <c r="L107" s="87"/>
      <c r="M107" s="87"/>
      <c r="N107" s="87"/>
      <c r="O107" s="87"/>
      <c r="P107" s="87"/>
      <c r="Q107" s="87"/>
      <c r="R107" s="87"/>
      <c r="S107" s="87"/>
      <c r="T107" s="87"/>
      <c r="U107" s="87"/>
    </row>
    <row r="108" spans="1:21" ht="17.25" customHeight="1">
      <c r="A108" s="87"/>
      <c r="B108" s="1102" t="s">
        <v>2092</v>
      </c>
      <c r="C108" s="1102"/>
      <c r="D108" s="1102"/>
      <c r="E108" s="1102"/>
      <c r="F108" s="1102"/>
      <c r="G108" s="1102"/>
      <c r="H108" s="1102"/>
      <c r="I108" s="1102"/>
      <c r="J108" s="87"/>
      <c r="K108" s="87"/>
      <c r="L108" s="87"/>
      <c r="M108" s="87"/>
      <c r="N108" s="87"/>
      <c r="O108" s="87"/>
      <c r="P108" s="87"/>
      <c r="Q108" s="87"/>
      <c r="R108" s="87"/>
      <c r="S108" s="87"/>
      <c r="T108" s="87"/>
      <c r="U108" s="87"/>
    </row>
    <row r="109" spans="1:21" ht="43.5" customHeight="1">
      <c r="A109" s="87"/>
      <c r="B109" s="1091" t="s">
        <v>2962</v>
      </c>
      <c r="C109" s="1092"/>
      <c r="D109" s="1092"/>
      <c r="E109" s="1092"/>
      <c r="F109" s="1092"/>
      <c r="G109" s="1092"/>
      <c r="H109" s="1092"/>
      <c r="I109" s="1092"/>
      <c r="J109" s="87"/>
      <c r="K109" s="87"/>
      <c r="L109" s="87"/>
      <c r="M109" s="87"/>
      <c r="N109" s="87"/>
      <c r="O109" s="87"/>
      <c r="P109" s="87"/>
      <c r="Q109" s="87"/>
      <c r="R109" s="87"/>
      <c r="S109" s="87"/>
      <c r="T109" s="87"/>
      <c r="U109" s="87"/>
    </row>
    <row r="110" spans="1:21" ht="28.5" customHeight="1">
      <c r="A110" s="87"/>
      <c r="B110" s="1091" t="s">
        <v>2521</v>
      </c>
      <c r="C110" s="1092"/>
      <c r="D110" s="1092"/>
      <c r="E110" s="1092"/>
      <c r="F110" s="1092"/>
      <c r="G110" s="1092"/>
      <c r="H110" s="1092"/>
      <c r="I110" s="1092"/>
      <c r="J110" s="87"/>
      <c r="K110" s="87"/>
      <c r="L110" s="87"/>
      <c r="M110" s="87"/>
      <c r="N110" s="87"/>
      <c r="O110" s="87"/>
      <c r="P110" s="87"/>
      <c r="Q110" s="87"/>
      <c r="R110" s="87"/>
      <c r="S110" s="87"/>
      <c r="T110" s="87"/>
      <c r="U110" s="87"/>
    </row>
    <row r="111" spans="1:21" ht="30" customHeight="1">
      <c r="A111" s="87"/>
      <c r="B111" s="1091" t="s">
        <v>2522</v>
      </c>
      <c r="C111" s="1092"/>
      <c r="D111" s="1092"/>
      <c r="E111" s="1092"/>
      <c r="F111" s="1092"/>
      <c r="G111" s="1092"/>
      <c r="H111" s="1092"/>
      <c r="I111" s="1092"/>
      <c r="J111" s="87"/>
      <c r="K111" s="87"/>
      <c r="L111" s="87"/>
      <c r="M111" s="87"/>
      <c r="N111" s="87"/>
      <c r="O111" s="87"/>
      <c r="P111" s="87"/>
      <c r="Q111" s="87"/>
      <c r="R111" s="87"/>
      <c r="S111" s="87"/>
      <c r="T111" s="87"/>
      <c r="U111" s="87"/>
    </row>
    <row r="112" spans="1:21" ht="28.5" customHeight="1">
      <c r="A112" s="87"/>
      <c r="B112" s="1091" t="s">
        <v>2421</v>
      </c>
      <c r="C112" s="1092"/>
      <c r="D112" s="1092"/>
      <c r="E112" s="1092"/>
      <c r="F112" s="1092"/>
      <c r="G112" s="1092"/>
      <c r="H112" s="1092"/>
      <c r="I112" s="1092"/>
      <c r="J112" s="87"/>
      <c r="K112" s="87"/>
      <c r="L112" s="87"/>
      <c r="M112" s="87"/>
      <c r="N112" s="87"/>
      <c r="O112" s="87"/>
      <c r="P112" s="87"/>
      <c r="Q112" s="87"/>
      <c r="R112" s="87"/>
      <c r="S112" s="87"/>
      <c r="T112" s="87"/>
      <c r="U112" s="87"/>
    </row>
    <row r="113" spans="1:21" ht="244.5" customHeight="1">
      <c r="A113" s="87"/>
      <c r="B113" s="87"/>
      <c r="C113" s="87"/>
      <c r="D113" s="87"/>
      <c r="E113" s="87"/>
      <c r="F113" s="87"/>
      <c r="G113" s="87"/>
      <c r="H113" s="87"/>
      <c r="I113" s="87"/>
      <c r="J113" s="87"/>
      <c r="K113" s="87"/>
      <c r="L113" s="87"/>
      <c r="M113" s="87"/>
      <c r="N113" s="87"/>
      <c r="O113" s="87"/>
      <c r="P113" s="87"/>
      <c r="Q113" s="87"/>
      <c r="R113" s="87"/>
      <c r="S113" s="87"/>
      <c r="T113" s="87"/>
      <c r="U113" s="87"/>
    </row>
    <row r="114" spans="1:21" ht="23.25" customHeight="1">
      <c r="A114" s="87"/>
      <c r="B114" s="1096" t="s">
        <v>2425</v>
      </c>
      <c r="C114" s="1096"/>
      <c r="D114" s="1096"/>
      <c r="E114" s="1096"/>
      <c r="F114" s="1096"/>
      <c r="G114" s="1096"/>
      <c r="H114" s="1096"/>
      <c r="I114" s="1096"/>
      <c r="J114" s="87"/>
      <c r="K114" s="87"/>
      <c r="L114" s="87"/>
      <c r="M114" s="87"/>
      <c r="N114" s="87"/>
      <c r="O114" s="87"/>
      <c r="P114" s="87"/>
      <c r="Q114" s="87"/>
      <c r="R114" s="87"/>
      <c r="S114" s="87"/>
      <c r="T114" s="87"/>
      <c r="U114" s="87"/>
    </row>
    <row r="115" spans="1:21" ht="33" customHeight="1">
      <c r="A115" s="87"/>
      <c r="B115" s="1092" t="s">
        <v>2496</v>
      </c>
      <c r="C115" s="1092"/>
      <c r="D115" s="1092"/>
      <c r="E115" s="1092"/>
      <c r="F115" s="1092"/>
      <c r="G115" s="1092"/>
      <c r="H115" s="1092"/>
      <c r="I115" s="1092"/>
      <c r="J115" s="87"/>
      <c r="K115" s="87"/>
      <c r="L115" s="87"/>
      <c r="M115" s="87"/>
      <c r="N115" s="87"/>
      <c r="O115" s="87"/>
      <c r="P115" s="87"/>
      <c r="Q115" s="87"/>
      <c r="R115" s="87"/>
      <c r="S115" s="87"/>
      <c r="T115" s="87"/>
      <c r="U115" s="87"/>
    </row>
    <row r="116" spans="1:21" ht="20.25" customHeight="1">
      <c r="A116" s="87"/>
      <c r="B116" s="1090" t="s">
        <v>1353</v>
      </c>
      <c r="C116" s="1090"/>
      <c r="D116" s="1090"/>
      <c r="E116" s="1090"/>
      <c r="F116" s="1090"/>
      <c r="G116" s="1090"/>
      <c r="H116" s="1090"/>
      <c r="I116" s="1090"/>
      <c r="J116" s="87"/>
      <c r="K116" s="87"/>
      <c r="L116" s="87"/>
      <c r="M116" s="87"/>
      <c r="N116" s="87"/>
      <c r="O116" s="87"/>
      <c r="P116" s="87"/>
      <c r="Q116" s="87"/>
      <c r="R116" s="87"/>
      <c r="S116" s="87"/>
      <c r="T116" s="87"/>
      <c r="U116" s="87"/>
    </row>
    <row r="117" spans="1:21" ht="44.25" customHeight="1">
      <c r="A117" s="87"/>
      <c r="B117" s="1092" t="s">
        <v>3018</v>
      </c>
      <c r="C117" s="1092"/>
      <c r="D117" s="1092"/>
      <c r="E117" s="1092"/>
      <c r="F117" s="1092"/>
      <c r="G117" s="1092"/>
      <c r="H117" s="1092"/>
      <c r="I117" s="1092"/>
      <c r="J117" s="87"/>
      <c r="K117" s="87"/>
      <c r="L117" s="87"/>
      <c r="M117" s="87"/>
      <c r="N117" s="87"/>
      <c r="O117" s="87"/>
      <c r="P117" s="87"/>
      <c r="Q117" s="87"/>
      <c r="R117" s="87"/>
      <c r="S117" s="87"/>
      <c r="T117" s="87"/>
      <c r="U117" s="87"/>
    </row>
    <row r="118" spans="1:21" ht="40.5" customHeight="1">
      <c r="A118" s="87"/>
      <c r="B118" s="1092" t="s">
        <v>3017</v>
      </c>
      <c r="C118" s="1092"/>
      <c r="D118" s="1092"/>
      <c r="E118" s="1092"/>
      <c r="F118" s="1092"/>
      <c r="G118" s="1092"/>
      <c r="H118" s="1092"/>
      <c r="I118" s="1092"/>
      <c r="J118" s="87"/>
      <c r="K118" s="87"/>
      <c r="L118" s="87"/>
      <c r="M118" s="87"/>
      <c r="N118" s="87"/>
      <c r="O118" s="87"/>
      <c r="P118" s="87"/>
      <c r="Q118" s="87"/>
      <c r="R118" s="87"/>
      <c r="S118" s="87"/>
      <c r="T118" s="87"/>
      <c r="U118" s="87"/>
    </row>
    <row r="119" spans="1:21" ht="27" customHeight="1">
      <c r="A119" s="87"/>
      <c r="B119" s="1092"/>
      <c r="C119" s="1092"/>
      <c r="D119" s="1092"/>
      <c r="E119" s="1092"/>
      <c r="F119" s="1092"/>
      <c r="G119" s="1092"/>
      <c r="H119" s="1092"/>
      <c r="I119" s="1092"/>
      <c r="J119" s="87"/>
      <c r="K119" s="87"/>
      <c r="L119" s="87"/>
      <c r="M119" s="87"/>
      <c r="N119" s="87"/>
      <c r="O119" s="87"/>
      <c r="P119" s="87"/>
      <c r="Q119" s="87"/>
      <c r="R119" s="87"/>
      <c r="S119" s="87"/>
      <c r="T119" s="87"/>
      <c r="U119" s="87"/>
    </row>
    <row r="120" spans="1:21" ht="45.75" customHeight="1">
      <c r="A120" s="87"/>
      <c r="B120" s="1092"/>
      <c r="C120" s="1092"/>
      <c r="D120" s="1092"/>
      <c r="E120" s="1092"/>
      <c r="F120" s="1092"/>
      <c r="G120" s="1092"/>
      <c r="H120" s="1092"/>
      <c r="I120" s="1092"/>
      <c r="J120" s="87"/>
      <c r="K120" s="87"/>
      <c r="L120" s="87"/>
      <c r="M120" s="87"/>
      <c r="N120" s="87"/>
      <c r="O120" s="87"/>
      <c r="P120" s="87"/>
      <c r="Q120" s="87"/>
      <c r="R120" s="87"/>
      <c r="S120" s="87"/>
      <c r="T120" s="87"/>
      <c r="U120" s="87"/>
    </row>
    <row r="121" spans="1:21" ht="19.5" customHeight="1">
      <c r="A121" s="87"/>
      <c r="B121" s="1090" t="s">
        <v>1355</v>
      </c>
      <c r="C121" s="1090"/>
      <c r="D121" s="1090"/>
      <c r="E121" s="1090"/>
      <c r="F121" s="1090"/>
      <c r="G121" s="1090"/>
      <c r="H121" s="1090"/>
      <c r="I121" s="1090"/>
      <c r="J121" s="87"/>
      <c r="K121" s="87"/>
      <c r="L121" s="87"/>
      <c r="M121" s="87"/>
      <c r="N121" s="87"/>
      <c r="O121" s="87"/>
      <c r="P121" s="87"/>
      <c r="Q121" s="87"/>
      <c r="R121" s="87"/>
      <c r="S121" s="87"/>
      <c r="T121" s="87"/>
      <c r="U121" s="87"/>
    </row>
    <row r="122" spans="1:21" ht="36" customHeight="1">
      <c r="A122" s="87"/>
      <c r="B122" s="1091" t="s">
        <v>2427</v>
      </c>
      <c r="C122" s="1092"/>
      <c r="D122" s="1092"/>
      <c r="E122" s="1092"/>
      <c r="F122" s="1092"/>
      <c r="G122" s="1092"/>
      <c r="H122" s="1092"/>
      <c r="I122" s="1092"/>
      <c r="J122" s="87"/>
      <c r="K122" s="87"/>
      <c r="L122" s="87"/>
      <c r="M122" s="87"/>
      <c r="N122" s="87"/>
      <c r="O122" s="87"/>
      <c r="P122" s="87"/>
      <c r="Q122" s="87"/>
      <c r="R122" s="87"/>
      <c r="S122" s="87"/>
      <c r="T122" s="87"/>
      <c r="U122" s="87"/>
    </row>
    <row r="123" spans="1:21" ht="57" customHeight="1">
      <c r="A123" s="87"/>
      <c r="B123" s="1091" t="s">
        <v>2497</v>
      </c>
      <c r="C123" s="1092"/>
      <c r="D123" s="1092"/>
      <c r="E123" s="1092"/>
      <c r="F123" s="1092"/>
      <c r="G123" s="1092"/>
      <c r="H123" s="1092"/>
      <c r="I123" s="1092"/>
      <c r="J123" s="87"/>
      <c r="K123" s="87"/>
      <c r="L123" s="87"/>
      <c r="M123" s="87"/>
      <c r="N123" s="87"/>
      <c r="O123" s="87"/>
      <c r="P123" s="87"/>
      <c r="Q123" s="87"/>
      <c r="R123" s="87"/>
      <c r="S123" s="87"/>
      <c r="T123" s="87"/>
      <c r="U123" s="87"/>
    </row>
    <row r="124" spans="1:21" ht="27" customHeight="1">
      <c r="A124" s="87"/>
      <c r="B124" s="1092"/>
      <c r="C124" s="1092"/>
      <c r="D124" s="1092"/>
      <c r="E124" s="1092"/>
      <c r="F124" s="1092"/>
      <c r="G124" s="1092"/>
      <c r="H124" s="1092"/>
      <c r="I124" s="1092"/>
      <c r="J124" s="87"/>
      <c r="K124" s="87"/>
      <c r="L124" s="87"/>
      <c r="M124" s="87"/>
      <c r="N124" s="87"/>
      <c r="O124" s="87"/>
      <c r="P124" s="87"/>
      <c r="Q124" s="87"/>
      <c r="R124" s="87"/>
      <c r="S124" s="87"/>
      <c r="T124" s="87"/>
      <c r="U124" s="87"/>
    </row>
    <row r="125" spans="1:21" ht="186" customHeight="1">
      <c r="A125" s="87"/>
      <c r="B125" s="1092"/>
      <c r="C125" s="1092"/>
      <c r="D125" s="1092"/>
      <c r="E125" s="1092"/>
      <c r="F125" s="1092"/>
      <c r="G125" s="1092"/>
      <c r="H125" s="1092"/>
      <c r="I125" s="1092"/>
      <c r="J125" s="87"/>
      <c r="K125" s="87"/>
      <c r="L125" s="87"/>
      <c r="M125" s="87"/>
      <c r="N125" s="87"/>
      <c r="O125" s="87"/>
      <c r="P125" s="87"/>
      <c r="Q125" s="87"/>
      <c r="R125" s="87"/>
      <c r="S125" s="87"/>
      <c r="T125" s="87"/>
      <c r="U125" s="87"/>
    </row>
    <row r="126" spans="1:21" ht="56.25" customHeight="1">
      <c r="A126" s="87"/>
      <c r="B126" s="1091" t="s">
        <v>2498</v>
      </c>
      <c r="C126" s="1092"/>
      <c r="D126" s="1092"/>
      <c r="E126" s="1092"/>
      <c r="F126" s="1092"/>
      <c r="G126" s="1092"/>
      <c r="H126" s="1092"/>
      <c r="I126" s="1092"/>
      <c r="J126" s="87"/>
      <c r="K126" s="87"/>
      <c r="L126" s="87"/>
      <c r="M126" s="87"/>
      <c r="N126" s="87"/>
      <c r="O126" s="87"/>
      <c r="P126" s="87"/>
      <c r="Q126" s="87"/>
      <c r="R126" s="87"/>
      <c r="S126" s="87"/>
      <c r="T126" s="87"/>
      <c r="U126" s="87"/>
    </row>
    <row r="127" spans="1:21" ht="19.5" customHeight="1">
      <c r="A127" s="87"/>
      <c r="B127" s="1091" t="s">
        <v>2499</v>
      </c>
      <c r="C127" s="1092"/>
      <c r="D127" s="1092"/>
      <c r="E127" s="1092"/>
      <c r="F127" s="1092"/>
      <c r="G127" s="1092"/>
      <c r="H127" s="1092"/>
      <c r="I127" s="1092"/>
      <c r="J127" s="87"/>
      <c r="K127" s="87"/>
      <c r="L127" s="87"/>
      <c r="M127" s="87"/>
      <c r="N127" s="87"/>
      <c r="O127" s="87"/>
      <c r="P127" s="87"/>
      <c r="Q127" s="87"/>
      <c r="R127" s="87"/>
      <c r="S127" s="87"/>
      <c r="T127" s="87"/>
      <c r="U127" s="87"/>
    </row>
    <row r="128" spans="1:21" ht="117" customHeight="1">
      <c r="A128" s="87"/>
      <c r="B128" s="87"/>
      <c r="C128" s="87"/>
      <c r="D128" s="87"/>
      <c r="E128" s="87"/>
      <c r="F128" s="87"/>
      <c r="G128" s="87"/>
      <c r="H128" s="87"/>
      <c r="I128" s="87"/>
      <c r="J128" s="87"/>
      <c r="K128" s="87"/>
      <c r="L128" s="87"/>
      <c r="M128" s="87"/>
      <c r="N128" s="87"/>
      <c r="O128" s="87"/>
      <c r="P128" s="87"/>
      <c r="Q128" s="87"/>
      <c r="R128" s="87"/>
      <c r="S128" s="87"/>
      <c r="T128" s="87"/>
      <c r="U128" s="87"/>
    </row>
    <row r="129" spans="1:21" ht="24.75" customHeight="1">
      <c r="A129" s="87"/>
      <c r="B129" s="1093" t="s">
        <v>2429</v>
      </c>
      <c r="C129" s="1094"/>
      <c r="D129" s="1094"/>
      <c r="E129" s="1094"/>
      <c r="F129" s="1094"/>
      <c r="G129" s="1094"/>
      <c r="H129" s="1094"/>
      <c r="I129" s="1094"/>
      <c r="J129" s="87"/>
      <c r="K129" s="87"/>
      <c r="L129" s="87"/>
      <c r="M129" s="87"/>
      <c r="N129" s="87"/>
      <c r="O129" s="87"/>
      <c r="P129" s="87"/>
      <c r="Q129" s="87"/>
      <c r="R129" s="87"/>
      <c r="S129" s="87"/>
      <c r="T129" s="87"/>
      <c r="U129" s="87"/>
    </row>
    <row r="130" spans="1:21" ht="138" customHeight="1">
      <c r="A130" s="87"/>
      <c r="B130" s="87"/>
      <c r="C130" s="87"/>
      <c r="D130" s="87"/>
      <c r="E130" s="87"/>
      <c r="F130" s="87"/>
      <c r="G130" s="87"/>
      <c r="H130" s="87"/>
      <c r="I130" s="87"/>
      <c r="J130" s="87"/>
      <c r="K130" s="87"/>
      <c r="L130" s="87"/>
      <c r="M130" s="87"/>
      <c r="N130" s="87"/>
      <c r="O130" s="87"/>
      <c r="P130" s="87"/>
      <c r="Q130" s="87"/>
      <c r="R130" s="87"/>
      <c r="S130" s="87"/>
      <c r="T130" s="87"/>
      <c r="U130" s="87"/>
    </row>
    <row r="131" spans="1:21" ht="16.5" customHeight="1">
      <c r="A131" s="87"/>
      <c r="B131" s="1090" t="s">
        <v>2194</v>
      </c>
      <c r="C131" s="1090"/>
      <c r="D131" s="1090"/>
      <c r="E131" s="1090"/>
      <c r="F131" s="1090"/>
      <c r="G131" s="1090"/>
      <c r="H131" s="1090"/>
      <c r="I131" s="1090"/>
      <c r="J131" s="87"/>
      <c r="K131" s="87"/>
      <c r="L131" s="87"/>
      <c r="M131" s="87"/>
      <c r="N131" s="87"/>
      <c r="O131" s="87"/>
      <c r="P131" s="87"/>
      <c r="Q131" s="87"/>
      <c r="R131" s="87"/>
      <c r="S131" s="87"/>
      <c r="T131" s="87"/>
      <c r="U131" s="87"/>
    </row>
    <row r="132" spans="1:21" ht="38.25" customHeight="1">
      <c r="A132" s="87"/>
      <c r="B132" s="1093" t="s">
        <v>2501</v>
      </c>
      <c r="C132" s="1094"/>
      <c r="D132" s="1094"/>
      <c r="E132" s="1094"/>
      <c r="F132" s="1094"/>
      <c r="G132" s="1094"/>
      <c r="H132" s="1094"/>
      <c r="I132" s="1094"/>
      <c r="J132" s="87"/>
      <c r="K132" s="87"/>
      <c r="L132" s="87"/>
      <c r="M132" s="87"/>
      <c r="N132" s="87"/>
      <c r="O132" s="87"/>
      <c r="P132" s="87"/>
      <c r="Q132" s="87"/>
      <c r="R132" s="87"/>
      <c r="S132" s="87"/>
      <c r="T132" s="87"/>
      <c r="U132" s="87"/>
    </row>
    <row r="133" spans="1:21" ht="173.25" customHeight="1">
      <c r="A133" s="87"/>
      <c r="B133" s="87"/>
      <c r="C133" s="87"/>
      <c r="D133" s="87"/>
      <c r="E133" s="87"/>
      <c r="F133" s="87"/>
      <c r="G133" s="87"/>
      <c r="H133" s="87"/>
      <c r="I133" s="87"/>
      <c r="J133" s="87"/>
      <c r="K133" s="87"/>
      <c r="L133" s="87"/>
      <c r="M133" s="87"/>
      <c r="N133" s="87"/>
      <c r="O133" s="87"/>
      <c r="P133" s="87"/>
      <c r="Q133" s="87"/>
      <c r="R133" s="87"/>
      <c r="S133" s="87"/>
      <c r="T133" s="87"/>
      <c r="U133" s="87"/>
    </row>
    <row r="134" spans="1:21" ht="16.5" customHeight="1">
      <c r="A134" s="87"/>
      <c r="B134" s="1090" t="s">
        <v>1335</v>
      </c>
      <c r="C134" s="1090"/>
      <c r="D134" s="1090"/>
      <c r="E134" s="1090"/>
      <c r="F134" s="1090"/>
      <c r="G134" s="1090"/>
      <c r="H134" s="1090"/>
      <c r="I134" s="1090"/>
      <c r="J134" s="87"/>
      <c r="K134" s="87"/>
      <c r="L134" s="87"/>
      <c r="M134" s="87"/>
      <c r="N134" s="87"/>
      <c r="O134" s="87"/>
      <c r="P134" s="87"/>
      <c r="Q134" s="87"/>
      <c r="R134" s="87"/>
      <c r="S134" s="87"/>
      <c r="T134" s="87"/>
      <c r="U134" s="87"/>
    </row>
    <row r="135" spans="1:21" ht="46.5" customHeight="1">
      <c r="A135" s="87"/>
      <c r="B135" s="1093" t="s">
        <v>2500</v>
      </c>
      <c r="C135" s="1094"/>
      <c r="D135" s="1094"/>
      <c r="E135" s="1094"/>
      <c r="F135" s="1094"/>
      <c r="G135" s="1094"/>
      <c r="H135" s="1094"/>
      <c r="I135" s="1094"/>
      <c r="J135" s="87"/>
      <c r="K135" s="87"/>
      <c r="L135" s="87"/>
      <c r="M135" s="87"/>
      <c r="N135" s="87"/>
      <c r="O135" s="87"/>
      <c r="P135" s="87"/>
      <c r="Q135" s="87"/>
      <c r="R135" s="87"/>
      <c r="S135" s="87"/>
      <c r="T135" s="87"/>
      <c r="U135" s="87"/>
    </row>
    <row r="136" spans="1:21" ht="31.5" customHeight="1">
      <c r="A136" s="87"/>
      <c r="B136" s="1091" t="s">
        <v>2430</v>
      </c>
      <c r="C136" s="1092"/>
      <c r="D136" s="1092"/>
      <c r="E136" s="1092"/>
      <c r="F136" s="1092"/>
      <c r="G136" s="1092"/>
      <c r="H136" s="1092"/>
      <c r="I136" s="1092"/>
      <c r="J136" s="87"/>
      <c r="K136" s="87"/>
      <c r="L136" s="87"/>
      <c r="M136" s="87"/>
      <c r="N136" s="87"/>
      <c r="O136" s="87"/>
      <c r="P136" s="87"/>
      <c r="Q136" s="87"/>
      <c r="R136" s="87"/>
      <c r="S136" s="87"/>
      <c r="T136" s="87"/>
      <c r="U136" s="87"/>
    </row>
    <row r="137" spans="1:21" ht="55.5" customHeight="1">
      <c r="A137" s="87"/>
      <c r="B137" s="1091" t="s">
        <v>3007</v>
      </c>
      <c r="C137" s="1092"/>
      <c r="D137" s="1092"/>
      <c r="E137" s="1092"/>
      <c r="F137" s="1092"/>
      <c r="G137" s="1092"/>
      <c r="H137" s="1092"/>
      <c r="I137" s="1092"/>
      <c r="J137" s="87"/>
      <c r="K137" s="87"/>
      <c r="L137" s="87"/>
      <c r="M137" s="87"/>
      <c r="N137" s="87"/>
      <c r="O137" s="87"/>
      <c r="P137" s="87"/>
      <c r="Q137" s="87"/>
      <c r="R137" s="87"/>
      <c r="S137" s="87"/>
      <c r="T137" s="87"/>
      <c r="U137" s="87"/>
    </row>
    <row r="138" spans="1:21" ht="192.75" customHeight="1">
      <c r="A138" s="87"/>
      <c r="B138" s="87"/>
      <c r="C138" s="87"/>
      <c r="D138" s="87"/>
      <c r="E138" s="87"/>
      <c r="F138" s="87"/>
      <c r="G138" s="87"/>
      <c r="H138" s="87"/>
      <c r="I138" s="87"/>
      <c r="J138" s="87"/>
      <c r="K138" s="87"/>
      <c r="L138" s="87"/>
      <c r="M138" s="87"/>
      <c r="N138" s="87"/>
      <c r="O138" s="87"/>
      <c r="P138" s="87"/>
      <c r="Q138" s="87"/>
      <c r="R138" s="87"/>
      <c r="S138" s="87"/>
      <c r="T138" s="87"/>
      <c r="U138" s="87"/>
    </row>
    <row r="139" spans="1:21" ht="16.5" customHeight="1">
      <c r="A139" s="87"/>
      <c r="B139" s="1090" t="s">
        <v>1966</v>
      </c>
      <c r="C139" s="1090"/>
      <c r="D139" s="1090"/>
      <c r="E139" s="1090"/>
      <c r="F139" s="1090"/>
      <c r="G139" s="1090"/>
      <c r="H139" s="1090"/>
      <c r="I139" s="1090"/>
      <c r="J139" s="87"/>
      <c r="K139" s="87"/>
      <c r="L139" s="87"/>
      <c r="M139" s="87"/>
      <c r="N139" s="87"/>
      <c r="O139" s="87"/>
      <c r="P139" s="87"/>
      <c r="Q139" s="87"/>
      <c r="R139" s="87"/>
      <c r="S139" s="87"/>
      <c r="T139" s="87"/>
      <c r="U139" s="87"/>
    </row>
    <row r="140" spans="1:21" ht="42" customHeight="1">
      <c r="A140" s="87"/>
      <c r="B140" s="1091" t="s">
        <v>2502</v>
      </c>
      <c r="C140" s="1092"/>
      <c r="D140" s="1092"/>
      <c r="E140" s="1092"/>
      <c r="F140" s="1092"/>
      <c r="G140" s="1092"/>
      <c r="H140" s="1092"/>
      <c r="I140" s="1092"/>
      <c r="J140" s="87"/>
      <c r="K140" s="87"/>
      <c r="L140" s="87"/>
      <c r="M140" s="87"/>
      <c r="N140" s="87"/>
      <c r="O140" s="87"/>
      <c r="P140" s="87"/>
      <c r="Q140" s="87"/>
      <c r="R140" s="87"/>
      <c r="S140" s="87"/>
      <c r="T140" s="87"/>
      <c r="U140" s="87"/>
    </row>
    <row r="141" spans="1:21" ht="159" customHeight="1">
      <c r="A141" s="87"/>
      <c r="B141" s="87"/>
      <c r="C141" s="87"/>
      <c r="D141" s="87"/>
      <c r="E141" s="87"/>
      <c r="F141" s="87"/>
      <c r="G141" s="87"/>
      <c r="H141" s="87"/>
      <c r="I141" s="87"/>
      <c r="J141" s="87"/>
      <c r="K141" s="87"/>
      <c r="L141" s="87"/>
      <c r="M141" s="87"/>
      <c r="N141" s="87"/>
      <c r="O141" s="87"/>
      <c r="P141" s="87"/>
      <c r="Q141" s="87"/>
      <c r="R141" s="87"/>
      <c r="S141" s="87"/>
      <c r="T141" s="87"/>
      <c r="U141" s="87"/>
    </row>
    <row r="142" spans="1:21" ht="16.5" customHeight="1">
      <c r="A142" s="87"/>
      <c r="B142" s="1090" t="s">
        <v>1358</v>
      </c>
      <c r="C142" s="1090"/>
      <c r="D142" s="1090"/>
      <c r="E142" s="1090"/>
      <c r="F142" s="1090"/>
      <c r="G142" s="1090"/>
      <c r="H142" s="1090"/>
      <c r="I142" s="1090"/>
      <c r="J142" s="87"/>
      <c r="K142" s="87"/>
      <c r="L142" s="87"/>
      <c r="M142" s="87"/>
      <c r="N142" s="87"/>
      <c r="O142" s="87"/>
      <c r="P142" s="87"/>
      <c r="Q142" s="87"/>
      <c r="R142" s="87"/>
      <c r="S142" s="87"/>
      <c r="T142" s="87"/>
      <c r="U142" s="87"/>
    </row>
    <row r="143" spans="1:21" ht="68.25" customHeight="1">
      <c r="A143" s="87"/>
      <c r="B143" s="1091" t="s">
        <v>3012</v>
      </c>
      <c r="C143" s="1092"/>
      <c r="D143" s="1092"/>
      <c r="E143" s="1092"/>
      <c r="F143" s="1092"/>
      <c r="G143" s="1092"/>
      <c r="H143" s="1092"/>
      <c r="I143" s="1092"/>
      <c r="J143" s="87"/>
      <c r="K143" s="984"/>
      <c r="L143" s="87"/>
      <c r="M143" s="87"/>
      <c r="N143" s="87"/>
      <c r="O143" s="87"/>
      <c r="P143" s="87"/>
      <c r="Q143" s="87"/>
      <c r="R143" s="87"/>
      <c r="S143" s="87"/>
      <c r="T143" s="87"/>
      <c r="U143" s="87"/>
    </row>
    <row r="144" spans="1:21" ht="12.75" customHeight="1">
      <c r="A144" s="87"/>
      <c r="B144" s="542"/>
      <c r="C144" s="1095" t="s">
        <v>3013</v>
      </c>
      <c r="D144" s="1095"/>
      <c r="E144" s="1095"/>
      <c r="F144" s="1095"/>
      <c r="G144" s="1095"/>
      <c r="H144" s="1095"/>
      <c r="I144" s="1095"/>
      <c r="J144" s="1095"/>
      <c r="K144" s="984"/>
      <c r="L144" s="87"/>
      <c r="M144" s="87"/>
      <c r="N144" s="87"/>
      <c r="O144" s="87"/>
      <c r="P144" s="87"/>
      <c r="Q144" s="87"/>
      <c r="R144" s="87"/>
      <c r="S144" s="87"/>
      <c r="T144" s="87"/>
      <c r="U144" s="87"/>
    </row>
    <row r="145" spans="1:21" ht="143.25" customHeight="1">
      <c r="A145" s="87"/>
      <c r="B145" s="87"/>
      <c r="C145" s="87"/>
      <c r="D145" s="87"/>
      <c r="E145" s="87"/>
      <c r="F145" s="87"/>
      <c r="G145" s="87"/>
      <c r="H145" s="87"/>
      <c r="I145" s="87"/>
      <c r="J145" s="87"/>
      <c r="K145" s="87"/>
      <c r="L145" s="87"/>
      <c r="M145" s="87"/>
      <c r="N145" s="87"/>
      <c r="O145" s="87"/>
      <c r="P145" s="87"/>
      <c r="Q145" s="87"/>
      <c r="R145" s="87"/>
      <c r="S145" s="87"/>
      <c r="T145" s="87"/>
      <c r="U145" s="87"/>
    </row>
    <row r="146" spans="1:21" ht="16.5" customHeight="1">
      <c r="A146" s="87"/>
      <c r="B146" s="1090" t="s">
        <v>1359</v>
      </c>
      <c r="C146" s="1090"/>
      <c r="D146" s="1090"/>
      <c r="E146" s="1090"/>
      <c r="F146" s="1090"/>
      <c r="G146" s="1090"/>
      <c r="H146" s="1090"/>
      <c r="I146" s="1090"/>
      <c r="J146" s="87"/>
      <c r="K146" s="87"/>
      <c r="L146" s="87"/>
      <c r="M146" s="87"/>
      <c r="N146" s="87"/>
      <c r="O146" s="87"/>
      <c r="P146" s="87"/>
      <c r="Q146" s="87"/>
      <c r="R146" s="87"/>
      <c r="S146" s="87"/>
      <c r="T146" s="87"/>
      <c r="U146" s="87"/>
    </row>
    <row r="147" spans="1:21" ht="61.5" customHeight="1">
      <c r="A147" s="87"/>
      <c r="B147" s="1091" t="s">
        <v>3008</v>
      </c>
      <c r="C147" s="1092"/>
      <c r="D147" s="1092"/>
      <c r="E147" s="1092"/>
      <c r="F147" s="1092"/>
      <c r="G147" s="1092"/>
      <c r="H147" s="1092"/>
      <c r="I147" s="1092"/>
      <c r="J147" s="87"/>
      <c r="K147" s="87"/>
      <c r="L147" s="87"/>
      <c r="M147" s="87"/>
      <c r="N147" s="87"/>
      <c r="O147" s="87"/>
      <c r="P147" s="87"/>
      <c r="Q147" s="87"/>
      <c r="R147" s="87"/>
      <c r="S147" s="87"/>
      <c r="T147" s="87"/>
      <c r="U147" s="87"/>
    </row>
    <row r="148" spans="1:21" ht="145.5" customHeight="1">
      <c r="A148" s="87"/>
      <c r="B148" s="87"/>
      <c r="C148" s="87"/>
      <c r="D148" s="87"/>
      <c r="E148" s="87"/>
      <c r="F148" s="87"/>
      <c r="G148" s="87"/>
      <c r="H148" s="87"/>
      <c r="I148" s="87"/>
      <c r="J148" s="87"/>
      <c r="K148" s="87"/>
      <c r="L148" s="87"/>
      <c r="M148" s="87"/>
      <c r="N148" s="87"/>
      <c r="O148" s="87"/>
      <c r="P148" s="87"/>
      <c r="Q148" s="87"/>
      <c r="R148" s="87"/>
      <c r="S148" s="87"/>
      <c r="T148" s="87"/>
      <c r="U148" s="87"/>
    </row>
    <row r="149" spans="1:21" ht="16.5" customHeight="1">
      <c r="A149" s="87"/>
      <c r="B149" s="1090" t="s">
        <v>1365</v>
      </c>
      <c r="C149" s="1090"/>
      <c r="D149" s="1090"/>
      <c r="E149" s="1090"/>
      <c r="F149" s="1090"/>
      <c r="G149" s="1090"/>
      <c r="H149" s="1090"/>
      <c r="I149" s="1090"/>
      <c r="J149" s="87"/>
      <c r="K149" s="87"/>
      <c r="L149" s="87"/>
      <c r="M149" s="87"/>
      <c r="N149" s="87"/>
      <c r="O149" s="87"/>
      <c r="P149" s="87"/>
      <c r="Q149" s="87"/>
      <c r="R149" s="87"/>
      <c r="S149" s="87"/>
      <c r="T149" s="87"/>
      <c r="U149" s="87"/>
    </row>
    <row r="150" spans="1:21" ht="45.75" customHeight="1">
      <c r="A150" s="87"/>
      <c r="B150" s="1091" t="s">
        <v>2503</v>
      </c>
      <c r="C150" s="1092"/>
      <c r="D150" s="1092"/>
      <c r="E150" s="1092"/>
      <c r="F150" s="1092"/>
      <c r="G150" s="1092"/>
      <c r="H150" s="1092"/>
      <c r="I150" s="1092"/>
      <c r="J150" s="87"/>
      <c r="K150" s="984"/>
      <c r="L150" s="87"/>
      <c r="M150" s="87"/>
      <c r="N150" s="87"/>
      <c r="O150" s="87"/>
      <c r="P150" s="87"/>
      <c r="Q150" s="87"/>
      <c r="R150" s="87"/>
      <c r="S150" s="87"/>
      <c r="T150" s="87"/>
      <c r="U150" s="87"/>
    </row>
    <row r="151" spans="1:21" ht="48" customHeight="1">
      <c r="A151" s="87"/>
      <c r="B151" s="1091" t="s">
        <v>3009</v>
      </c>
      <c r="C151" s="1092"/>
      <c r="D151" s="1092"/>
      <c r="E151" s="1092"/>
      <c r="F151" s="1092"/>
      <c r="G151" s="1092"/>
      <c r="H151" s="1092"/>
      <c r="I151" s="1092"/>
      <c r="J151" s="87"/>
      <c r="K151" s="87"/>
      <c r="L151" s="87"/>
      <c r="M151" s="87"/>
      <c r="N151" s="87"/>
      <c r="O151" s="87"/>
      <c r="P151" s="87"/>
      <c r="Q151" s="87"/>
      <c r="R151" s="87"/>
      <c r="S151" s="87"/>
      <c r="T151" s="87"/>
      <c r="U151" s="87"/>
    </row>
    <row r="152" spans="1:21" ht="31.5" customHeight="1">
      <c r="A152" s="87"/>
      <c r="B152" s="1091" t="s">
        <v>2504</v>
      </c>
      <c r="C152" s="1091"/>
      <c r="D152" s="1091"/>
      <c r="E152" s="1091"/>
      <c r="F152" s="1091"/>
      <c r="G152" s="1091"/>
      <c r="H152" s="1091"/>
      <c r="I152" s="1091"/>
      <c r="J152" s="87"/>
      <c r="K152" s="87"/>
      <c r="L152" s="87"/>
      <c r="M152" s="87"/>
      <c r="N152" s="87"/>
      <c r="O152" s="87"/>
      <c r="P152" s="87"/>
      <c r="Q152" s="87"/>
      <c r="R152" s="87"/>
      <c r="S152" s="87"/>
      <c r="T152" s="87"/>
      <c r="U152" s="87"/>
    </row>
    <row r="153" spans="1:21" ht="15" customHeight="1">
      <c r="A153" s="87"/>
      <c r="B153" s="1093" t="s">
        <v>3014</v>
      </c>
      <c r="C153" s="1093"/>
      <c r="D153" s="1093"/>
      <c r="E153" s="1093"/>
      <c r="F153" s="1093"/>
      <c r="G153" s="1093"/>
      <c r="H153" s="1093"/>
      <c r="I153" s="1093"/>
      <c r="J153" s="87"/>
      <c r="K153" s="87"/>
      <c r="L153" s="87"/>
      <c r="M153" s="87"/>
      <c r="N153" s="87"/>
      <c r="O153" s="87"/>
      <c r="P153" s="87"/>
      <c r="Q153" s="87"/>
      <c r="R153" s="87"/>
      <c r="S153" s="87"/>
      <c r="T153" s="87"/>
      <c r="U153" s="87"/>
    </row>
    <row r="154" spans="1:21" ht="17.25" customHeight="1">
      <c r="A154" s="87"/>
      <c r="B154" s="542"/>
      <c r="C154" s="1095" t="s">
        <v>3013</v>
      </c>
      <c r="D154" s="1095"/>
      <c r="E154" s="1095"/>
      <c r="F154" s="1095"/>
      <c r="G154" s="1095"/>
      <c r="H154" s="1095"/>
      <c r="I154" s="1095"/>
      <c r="J154" s="1095"/>
      <c r="K154" s="984"/>
      <c r="L154" s="87"/>
      <c r="M154" s="87"/>
      <c r="N154" s="87"/>
      <c r="O154" s="87"/>
      <c r="P154" s="87"/>
      <c r="Q154" s="87"/>
      <c r="R154" s="87"/>
      <c r="S154" s="87"/>
      <c r="T154" s="87"/>
      <c r="U154" s="87"/>
    </row>
    <row r="155" spans="1:21" ht="168" customHeight="1">
      <c r="A155" s="87"/>
      <c r="B155" s="560" t="s">
        <v>2505</v>
      </c>
      <c r="C155" s="87"/>
      <c r="D155" s="87"/>
      <c r="E155" s="87"/>
      <c r="F155" s="87"/>
      <c r="G155" s="87"/>
      <c r="H155" s="87"/>
      <c r="I155" s="87"/>
      <c r="J155" s="87"/>
      <c r="K155" s="87"/>
      <c r="L155" s="87"/>
      <c r="M155" s="87"/>
      <c r="N155" s="87"/>
      <c r="O155" s="87"/>
      <c r="P155" s="87"/>
      <c r="Q155" s="87"/>
      <c r="R155" s="87"/>
      <c r="S155" s="87"/>
      <c r="T155" s="87"/>
      <c r="U155" s="87"/>
    </row>
    <row r="156" spans="1:21" ht="16.5" customHeight="1">
      <c r="A156" s="87"/>
      <c r="B156" s="1090" t="s">
        <v>1920</v>
      </c>
      <c r="C156" s="1090"/>
      <c r="D156" s="1090"/>
      <c r="E156" s="1090"/>
      <c r="F156" s="1090"/>
      <c r="G156" s="1090"/>
      <c r="H156" s="1090"/>
      <c r="I156" s="1090"/>
      <c r="J156" s="87"/>
      <c r="K156" s="87"/>
      <c r="L156" s="87"/>
      <c r="M156" s="87"/>
      <c r="N156" s="87"/>
      <c r="O156" s="87"/>
      <c r="P156" s="87"/>
      <c r="Q156" s="87"/>
      <c r="R156" s="87"/>
      <c r="S156" s="87"/>
      <c r="T156" s="87"/>
      <c r="U156" s="87"/>
    </row>
    <row r="157" spans="1:21" ht="55.5" customHeight="1">
      <c r="A157" s="87"/>
      <c r="B157" s="1091" t="s">
        <v>3010</v>
      </c>
      <c r="C157" s="1092"/>
      <c r="D157" s="1092"/>
      <c r="E157" s="1092"/>
      <c r="F157" s="1092"/>
      <c r="G157" s="1092"/>
      <c r="H157" s="1092"/>
      <c r="I157" s="1092"/>
      <c r="J157" s="87"/>
      <c r="K157" s="87"/>
      <c r="L157" s="87"/>
      <c r="M157" s="87"/>
      <c r="N157" s="87"/>
      <c r="O157" s="87"/>
      <c r="P157" s="87"/>
      <c r="Q157" s="87"/>
      <c r="R157" s="87"/>
      <c r="S157" s="87"/>
      <c r="T157" s="87"/>
      <c r="U157" s="87"/>
    </row>
    <row r="158" spans="1:21" ht="12" customHeight="1">
      <c r="A158" s="87"/>
      <c r="B158" s="1093" t="s">
        <v>3015</v>
      </c>
      <c r="C158" s="1093"/>
      <c r="D158" s="1093"/>
      <c r="E158" s="1093"/>
      <c r="F158" s="1093"/>
      <c r="G158" s="1093"/>
      <c r="H158" s="1093"/>
      <c r="I158" s="1093"/>
      <c r="J158" s="87"/>
      <c r="K158" s="87"/>
      <c r="L158" s="87"/>
      <c r="M158" s="87"/>
      <c r="N158" s="87"/>
      <c r="O158" s="87"/>
      <c r="P158" s="87"/>
      <c r="Q158" s="87"/>
      <c r="R158" s="87"/>
      <c r="S158" s="87"/>
      <c r="T158" s="87"/>
      <c r="U158" s="87"/>
    </row>
    <row r="159" spans="1:21" ht="15.75" customHeight="1">
      <c r="A159" s="87"/>
      <c r="B159" s="542"/>
      <c r="C159" s="1095" t="s">
        <v>3013</v>
      </c>
      <c r="D159" s="1095"/>
      <c r="E159" s="1095"/>
      <c r="F159" s="1095"/>
      <c r="G159" s="1095"/>
      <c r="H159" s="1095"/>
      <c r="I159" s="1095"/>
      <c r="J159" s="1095"/>
      <c r="K159" s="984"/>
      <c r="L159" s="87"/>
      <c r="M159" s="87"/>
      <c r="N159" s="87"/>
      <c r="O159" s="87"/>
      <c r="P159" s="87"/>
      <c r="Q159" s="87"/>
      <c r="R159" s="87"/>
      <c r="S159" s="87"/>
      <c r="T159" s="87"/>
      <c r="U159" s="87"/>
    </row>
    <row r="160" spans="1:21" ht="147"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1" ht="18.75">
      <c r="A161" s="87"/>
      <c r="B161" s="1096" t="s">
        <v>2187</v>
      </c>
      <c r="C161" s="1096"/>
      <c r="D161" s="1096"/>
      <c r="E161" s="1096"/>
      <c r="F161" s="1096"/>
      <c r="G161" s="1096"/>
      <c r="H161" s="1096"/>
      <c r="I161" s="1096"/>
      <c r="J161" s="87"/>
      <c r="K161" s="87"/>
      <c r="L161" s="87"/>
      <c r="M161" s="87"/>
      <c r="N161" s="87"/>
      <c r="O161" s="87"/>
      <c r="P161" s="87"/>
      <c r="Q161" s="87"/>
      <c r="R161" s="87"/>
      <c r="S161" s="87"/>
      <c r="T161" s="87"/>
      <c r="U161" s="87"/>
    </row>
    <row r="162" spans="1:21" ht="44.25" customHeight="1">
      <c r="A162" s="87"/>
      <c r="B162" s="1091" t="s">
        <v>2506</v>
      </c>
      <c r="C162" s="1092"/>
      <c r="D162" s="1092"/>
      <c r="E162" s="1092"/>
      <c r="F162" s="1092"/>
      <c r="G162" s="1092"/>
      <c r="H162" s="1092"/>
      <c r="I162" s="1092"/>
      <c r="J162" s="87"/>
      <c r="K162" s="87"/>
      <c r="L162" s="87"/>
      <c r="M162" s="87"/>
      <c r="N162" s="87"/>
      <c r="O162" s="87"/>
      <c r="P162" s="87"/>
      <c r="Q162" s="87"/>
      <c r="R162" s="87"/>
      <c r="S162" s="87"/>
      <c r="T162" s="87"/>
      <c r="U162" s="87"/>
    </row>
    <row r="163" spans="1:21" ht="30" customHeight="1">
      <c r="A163" s="87"/>
      <c r="B163" s="1092" t="s">
        <v>2508</v>
      </c>
      <c r="C163" s="1092"/>
      <c r="D163" s="1092"/>
      <c r="E163" s="1092"/>
      <c r="F163" s="1092"/>
      <c r="G163" s="1092"/>
      <c r="H163" s="1092"/>
      <c r="I163" s="1092"/>
      <c r="K163" s="87"/>
      <c r="L163" s="87"/>
      <c r="M163" s="87"/>
      <c r="N163" s="87"/>
      <c r="O163" s="87"/>
      <c r="P163" s="87"/>
      <c r="Q163" s="87"/>
      <c r="R163" s="87"/>
      <c r="S163" s="87"/>
      <c r="T163" s="87"/>
      <c r="U163" s="87"/>
    </row>
    <row r="164" spans="1:21" ht="16.5" customHeight="1">
      <c r="A164" s="87"/>
      <c r="B164" s="1097" t="s">
        <v>2510</v>
      </c>
      <c r="C164" s="1097"/>
      <c r="D164" s="1097"/>
      <c r="E164" s="1095" t="s">
        <v>2509</v>
      </c>
      <c r="F164" s="1091"/>
      <c r="G164" s="1091"/>
      <c r="H164" s="1091"/>
      <c r="I164" s="1091"/>
      <c r="J164" s="87"/>
      <c r="K164" s="87"/>
      <c r="L164" s="87"/>
      <c r="M164" s="87"/>
      <c r="N164" s="87"/>
      <c r="O164" s="87"/>
      <c r="P164" s="87"/>
      <c r="Q164" s="87"/>
      <c r="R164" s="87"/>
      <c r="S164" s="87"/>
      <c r="T164" s="87"/>
      <c r="U164" s="87"/>
    </row>
    <row r="165" spans="1:21" ht="16.5" customHeight="1">
      <c r="A165" s="87"/>
      <c r="B165" s="1097" t="s">
        <v>2507</v>
      </c>
      <c r="C165" s="1097"/>
      <c r="D165" s="1097"/>
      <c r="E165" s="1095" t="s">
        <v>2294</v>
      </c>
      <c r="F165" s="1091"/>
      <c r="G165" s="1091"/>
      <c r="H165" s="1091"/>
      <c r="I165" s="1091"/>
      <c r="J165" s="87"/>
      <c r="K165" s="87"/>
      <c r="L165" s="87"/>
      <c r="M165" s="87"/>
      <c r="N165" s="87"/>
      <c r="O165" s="87"/>
      <c r="P165" s="87"/>
      <c r="Q165" s="87"/>
      <c r="R165" s="87"/>
      <c r="S165" s="87"/>
      <c r="T165" s="87"/>
      <c r="U165" s="87"/>
    </row>
    <row r="166" spans="1:21" ht="47.25" customHeight="1">
      <c r="A166" s="87"/>
      <c r="B166" s="1091" t="s">
        <v>2513</v>
      </c>
      <c r="C166" s="1091"/>
      <c r="D166" s="1091"/>
      <c r="E166" s="1091"/>
      <c r="F166" s="1091"/>
      <c r="G166" s="1091"/>
      <c r="H166" s="1091"/>
      <c r="I166" s="1091"/>
      <c r="J166" s="87"/>
      <c r="K166" s="87"/>
      <c r="L166" s="87"/>
      <c r="M166" s="87"/>
      <c r="N166" s="87"/>
      <c r="O166" s="87"/>
      <c r="P166" s="87"/>
      <c r="Q166" s="87"/>
      <c r="R166" s="87"/>
      <c r="S166" s="87"/>
      <c r="T166" s="87"/>
      <c r="U166" s="87"/>
    </row>
    <row r="167" spans="1:21" ht="16.5" customHeight="1">
      <c r="A167" s="87"/>
      <c r="B167" s="1090" t="s">
        <v>2169</v>
      </c>
      <c r="C167" s="1090"/>
      <c r="D167" s="1090"/>
      <c r="E167" s="1090"/>
      <c r="F167" s="1090"/>
      <c r="G167" s="1090"/>
      <c r="H167" s="1090"/>
      <c r="I167" s="1090"/>
      <c r="J167" s="87"/>
      <c r="K167" s="87"/>
      <c r="L167" s="87"/>
      <c r="M167" s="87"/>
      <c r="N167" s="87"/>
      <c r="O167" s="87"/>
      <c r="P167" s="87"/>
      <c r="Q167" s="87"/>
      <c r="R167" s="87"/>
      <c r="S167" s="87"/>
      <c r="T167" s="87"/>
      <c r="U167" s="87"/>
    </row>
    <row r="168" spans="1:21" ht="18.75" customHeight="1">
      <c r="A168" s="87"/>
      <c r="B168" s="1098" t="s">
        <v>2431</v>
      </c>
      <c r="C168" s="1099"/>
      <c r="D168" s="1099"/>
      <c r="E168" s="1099"/>
      <c r="F168" s="1099"/>
      <c r="G168" s="1099"/>
      <c r="H168" s="1099"/>
      <c r="I168" s="1099"/>
      <c r="J168" s="87"/>
      <c r="K168" s="87"/>
      <c r="L168" s="87"/>
      <c r="M168" s="87"/>
      <c r="N168" s="87"/>
      <c r="O168" s="87"/>
      <c r="P168" s="87"/>
      <c r="Q168" s="87"/>
      <c r="R168" s="87"/>
      <c r="S168" s="87"/>
      <c r="T168" s="87"/>
      <c r="U168" s="87"/>
    </row>
    <row r="169" spans="1:21" ht="18.75" customHeight="1">
      <c r="A169" s="87"/>
      <c r="B169" s="1091" t="s">
        <v>3011</v>
      </c>
      <c r="C169" s="1091"/>
      <c r="D169" s="1091"/>
      <c r="E169" s="1091"/>
      <c r="F169" s="1091"/>
      <c r="G169" s="1091"/>
      <c r="H169" s="1091"/>
      <c r="I169" s="1091"/>
      <c r="J169" s="87"/>
      <c r="K169" s="87"/>
      <c r="L169" s="87"/>
      <c r="M169" s="87"/>
      <c r="N169" s="87"/>
      <c r="O169" s="87"/>
      <c r="P169" s="87"/>
      <c r="Q169" s="87"/>
      <c r="R169" s="87"/>
      <c r="S169" s="87"/>
      <c r="T169" s="87"/>
      <c r="U169" s="87"/>
    </row>
    <row r="170" spans="1:21" ht="94.5" customHeight="1">
      <c r="A170" s="87"/>
      <c r="B170" s="1099"/>
      <c r="C170" s="1099"/>
      <c r="D170" s="1099"/>
      <c r="E170" s="1099"/>
      <c r="F170" s="1099"/>
      <c r="G170" s="1099"/>
      <c r="H170" s="1099"/>
      <c r="I170" s="1099"/>
      <c r="J170" s="87"/>
      <c r="K170" s="87"/>
      <c r="L170" s="87"/>
      <c r="M170" s="87"/>
      <c r="N170" s="87"/>
      <c r="O170" s="87"/>
      <c r="P170" s="87"/>
      <c r="Q170" s="87"/>
      <c r="R170" s="87"/>
      <c r="S170" s="87"/>
      <c r="T170" s="87"/>
      <c r="U170" s="87"/>
    </row>
    <row r="171" spans="1:21" ht="15">
      <c r="A171" s="87"/>
      <c r="B171" s="1090" t="s">
        <v>2149</v>
      </c>
      <c r="C171" s="1090"/>
      <c r="D171" s="1090"/>
      <c r="E171" s="1090"/>
      <c r="F171" s="1090"/>
      <c r="G171" s="1090"/>
      <c r="H171" s="1090"/>
      <c r="I171" s="1090"/>
      <c r="J171" s="87"/>
      <c r="K171" s="87"/>
      <c r="L171" s="87"/>
      <c r="M171" s="87"/>
      <c r="N171" s="87"/>
      <c r="O171" s="87"/>
      <c r="P171" s="87"/>
      <c r="Q171" s="87"/>
      <c r="R171" s="87"/>
      <c r="S171" s="87"/>
      <c r="T171" s="87"/>
      <c r="U171" s="87"/>
    </row>
    <row r="172" spans="1:21" ht="27.75" customHeight="1">
      <c r="A172" s="87"/>
      <c r="B172" s="1091" t="s">
        <v>2511</v>
      </c>
      <c r="C172" s="1091"/>
      <c r="D172" s="1091"/>
      <c r="E172" s="1091"/>
      <c r="F172" s="1091"/>
      <c r="G172" s="1091"/>
      <c r="H172" s="1091"/>
      <c r="I172" s="1091"/>
      <c r="J172" s="87"/>
      <c r="K172" s="984" t="s">
        <v>3016</v>
      </c>
      <c r="L172" s="87"/>
      <c r="M172" s="87"/>
      <c r="N172" s="87"/>
      <c r="O172" s="87"/>
      <c r="P172" s="87"/>
      <c r="Q172" s="87"/>
      <c r="R172" s="87"/>
      <c r="S172" s="87"/>
      <c r="T172" s="87"/>
      <c r="U172" s="87"/>
    </row>
    <row r="173" spans="1:21" ht="66" customHeight="1">
      <c r="A173" s="87"/>
      <c r="B173" s="87"/>
      <c r="C173" s="87"/>
      <c r="D173" s="87"/>
      <c r="E173" s="87"/>
      <c r="F173" s="87"/>
      <c r="G173" s="87"/>
      <c r="H173" s="87"/>
      <c r="I173" s="87"/>
      <c r="J173" s="87"/>
      <c r="K173" s="87"/>
      <c r="L173" s="87"/>
      <c r="M173" s="87"/>
      <c r="N173" s="87"/>
      <c r="O173" s="87"/>
      <c r="P173" s="87"/>
      <c r="Q173" s="87"/>
      <c r="R173" s="87"/>
      <c r="S173" s="87"/>
      <c r="T173" s="87"/>
      <c r="U173" s="87"/>
    </row>
    <row r="174" spans="1:21" ht="15">
      <c r="A174" s="87"/>
      <c r="B174" s="1090" t="s">
        <v>2156</v>
      </c>
      <c r="C174" s="1090"/>
      <c r="D174" s="1090"/>
      <c r="E174" s="1090"/>
      <c r="F174" s="1090"/>
      <c r="G174" s="1090"/>
      <c r="H174" s="1090"/>
      <c r="I174" s="1090"/>
      <c r="J174" s="87"/>
      <c r="K174" s="87"/>
      <c r="L174" s="87"/>
      <c r="M174" s="87"/>
      <c r="N174" s="87"/>
      <c r="O174" s="87"/>
      <c r="P174" s="87"/>
      <c r="Q174" s="87"/>
      <c r="R174" s="87"/>
      <c r="S174" s="87"/>
      <c r="T174" s="87"/>
      <c r="U174" s="87"/>
    </row>
    <row r="175" spans="1:21" ht="18.75" customHeight="1">
      <c r="A175" s="87"/>
      <c r="B175" s="1091" t="s">
        <v>2512</v>
      </c>
      <c r="C175" s="1091"/>
      <c r="D175" s="1091"/>
      <c r="E175" s="1091"/>
      <c r="F175" s="1091"/>
      <c r="G175" s="1091"/>
      <c r="H175" s="1091"/>
      <c r="I175" s="1091"/>
      <c r="J175" s="87"/>
      <c r="K175" s="87"/>
      <c r="L175" s="87"/>
      <c r="M175" s="87"/>
      <c r="N175" s="87"/>
      <c r="O175" s="87"/>
      <c r="P175" s="87"/>
      <c r="Q175" s="87"/>
      <c r="R175" s="87"/>
      <c r="S175" s="87"/>
      <c r="T175" s="87"/>
      <c r="U175" s="87"/>
    </row>
    <row r="176" spans="1:21" ht="66.75" customHeight="1">
      <c r="A176" s="87"/>
      <c r="B176" s="87"/>
      <c r="C176" s="87"/>
      <c r="D176" s="87"/>
      <c r="E176" s="87"/>
      <c r="F176" s="87"/>
      <c r="G176" s="87"/>
      <c r="H176" s="87"/>
      <c r="I176" s="87"/>
      <c r="J176" s="87"/>
      <c r="K176" s="87"/>
      <c r="L176" s="87"/>
      <c r="M176" s="87"/>
      <c r="N176" s="87"/>
      <c r="O176" s="87"/>
      <c r="P176" s="87"/>
      <c r="Q176" s="87"/>
      <c r="R176" s="87"/>
      <c r="S176" s="87"/>
      <c r="T176" s="87"/>
      <c r="U176" s="87"/>
    </row>
    <row r="177" spans="1:21" ht="20.25" customHeight="1">
      <c r="A177" s="87"/>
      <c r="B177" s="1090" t="s">
        <v>2157</v>
      </c>
      <c r="C177" s="1090"/>
      <c r="D177" s="1090"/>
      <c r="E177" s="1090"/>
      <c r="F177" s="1090"/>
      <c r="G177" s="1090"/>
      <c r="H177" s="1090"/>
      <c r="I177" s="1090"/>
      <c r="J177" s="87"/>
      <c r="K177" s="87"/>
      <c r="L177" s="87"/>
      <c r="M177" s="87"/>
      <c r="N177" s="87"/>
      <c r="O177" s="87"/>
      <c r="P177" s="87"/>
      <c r="Q177" s="87"/>
      <c r="R177" s="87"/>
      <c r="S177" s="87"/>
      <c r="T177" s="87"/>
      <c r="U177" s="87"/>
    </row>
    <row r="178" spans="1:21" ht="20.25" customHeight="1">
      <c r="A178" s="87"/>
      <c r="B178" s="1091" t="s">
        <v>2432</v>
      </c>
      <c r="C178" s="1091"/>
      <c r="D178" s="1091"/>
      <c r="E178" s="1091"/>
      <c r="F178" s="1091"/>
      <c r="G178" s="1091"/>
      <c r="H178" s="1091"/>
      <c r="I178" s="1091"/>
      <c r="J178" s="87"/>
      <c r="K178" s="87"/>
      <c r="L178" s="87"/>
      <c r="M178" s="87"/>
      <c r="N178" s="87"/>
      <c r="O178" s="87"/>
      <c r="P178" s="87"/>
      <c r="Q178" s="87"/>
      <c r="R178" s="87"/>
      <c r="S178" s="87"/>
      <c r="T178" s="87"/>
      <c r="U178" s="87"/>
    </row>
    <row r="179" spans="1:21" ht="64.5" customHeight="1">
      <c r="A179" s="87"/>
      <c r="B179" s="87"/>
      <c r="C179" s="87"/>
      <c r="D179" s="87"/>
      <c r="E179" s="87"/>
      <c r="F179" s="87"/>
      <c r="G179" s="87"/>
      <c r="H179" s="87"/>
      <c r="I179" s="87"/>
      <c r="J179" s="87"/>
      <c r="K179" s="87"/>
      <c r="L179" s="87"/>
      <c r="M179" s="87"/>
      <c r="N179" s="87"/>
      <c r="O179" s="87"/>
      <c r="P179" s="87"/>
      <c r="Q179" s="87"/>
      <c r="R179" s="87"/>
      <c r="S179" s="87"/>
      <c r="T179" s="87"/>
      <c r="U179" s="87"/>
    </row>
    <row r="180" spans="1:21" ht="15">
      <c r="A180" s="87"/>
      <c r="B180" s="1090" t="s">
        <v>2433</v>
      </c>
      <c r="C180" s="1090"/>
      <c r="D180" s="1090"/>
      <c r="E180" s="1090"/>
      <c r="F180" s="1090"/>
      <c r="G180" s="1090"/>
      <c r="H180" s="1090"/>
      <c r="I180" s="1090"/>
      <c r="J180" s="87"/>
      <c r="K180" s="87"/>
      <c r="L180" s="87"/>
      <c r="M180" s="87"/>
      <c r="N180" s="87"/>
      <c r="O180" s="87"/>
      <c r="P180" s="87"/>
      <c r="Q180" s="87"/>
      <c r="R180" s="87"/>
      <c r="S180" s="87"/>
      <c r="T180" s="87"/>
      <c r="U180" s="87"/>
    </row>
    <row r="181" spans="1:21" ht="20.25" customHeight="1">
      <c r="A181" s="87"/>
      <c r="B181" s="1091" t="s">
        <v>2434</v>
      </c>
      <c r="C181" s="1091"/>
      <c r="D181" s="1091"/>
      <c r="E181" s="1091"/>
      <c r="F181" s="1091"/>
      <c r="G181" s="1091"/>
      <c r="H181" s="1091"/>
      <c r="I181" s="1091"/>
      <c r="J181" s="87"/>
      <c r="K181" s="87"/>
      <c r="L181" s="87"/>
      <c r="M181" s="87"/>
      <c r="N181" s="87"/>
      <c r="O181" s="87"/>
      <c r="P181" s="87"/>
      <c r="Q181" s="87"/>
      <c r="R181" s="87"/>
      <c r="S181" s="87"/>
      <c r="T181" s="87"/>
      <c r="U181" s="87"/>
    </row>
    <row r="182" spans="1:21" ht="232.5" customHeight="1">
      <c r="A182" s="87"/>
      <c r="B182" s="87"/>
      <c r="C182" s="87"/>
      <c r="D182" s="87"/>
      <c r="E182" s="87"/>
      <c r="F182" s="87"/>
      <c r="G182" s="87"/>
      <c r="H182" s="87"/>
      <c r="I182" s="87"/>
      <c r="J182" s="87"/>
      <c r="K182" s="87"/>
      <c r="L182" s="87"/>
      <c r="M182" s="87"/>
      <c r="N182" s="87"/>
      <c r="O182" s="87"/>
      <c r="P182" s="87"/>
      <c r="Q182" s="87"/>
      <c r="R182" s="87"/>
      <c r="S182" s="87"/>
      <c r="T182" s="87"/>
      <c r="U182" s="87"/>
    </row>
    <row r="183" spans="1:21" ht="23.25" customHeight="1">
      <c r="A183" s="87"/>
      <c r="B183" s="1100" t="s">
        <v>2451</v>
      </c>
      <c r="C183" s="1100"/>
      <c r="D183" s="1100"/>
      <c r="E183" s="1100"/>
      <c r="F183" s="1100"/>
      <c r="G183" s="1100"/>
      <c r="H183" s="1100"/>
      <c r="I183" s="1100"/>
      <c r="J183" s="87"/>
      <c r="K183" s="87"/>
      <c r="L183" s="87"/>
      <c r="M183" s="87"/>
      <c r="N183" s="87"/>
      <c r="O183" s="87"/>
      <c r="P183" s="87"/>
      <c r="Q183" s="87"/>
      <c r="R183" s="87"/>
      <c r="S183" s="87"/>
      <c r="T183" s="87"/>
      <c r="U183" s="87"/>
    </row>
    <row r="184" spans="1:21" ht="32.25" customHeight="1">
      <c r="A184" s="87"/>
      <c r="B184" s="1091" t="s">
        <v>2452</v>
      </c>
      <c r="C184" s="1092"/>
      <c r="D184" s="1092"/>
      <c r="E184" s="1092"/>
      <c r="F184" s="1092"/>
      <c r="G184" s="1092"/>
      <c r="H184" s="1092"/>
      <c r="I184" s="1092"/>
      <c r="J184" s="87"/>
      <c r="K184" s="87"/>
      <c r="L184" s="87"/>
      <c r="M184" s="87"/>
      <c r="N184" s="87"/>
      <c r="O184" s="87"/>
      <c r="P184" s="87"/>
      <c r="Q184" s="87"/>
      <c r="R184" s="87"/>
      <c r="S184" s="87"/>
      <c r="T184" s="87"/>
      <c r="U184" s="87"/>
    </row>
    <row r="185" spans="1:21" ht="44.25" customHeight="1">
      <c r="A185" s="87"/>
      <c r="B185" s="1091" t="s">
        <v>2468</v>
      </c>
      <c r="C185" s="1092"/>
      <c r="D185" s="1092"/>
      <c r="E185" s="1092"/>
      <c r="F185" s="1092"/>
      <c r="G185" s="1092"/>
      <c r="H185" s="1092"/>
      <c r="I185" s="1092"/>
      <c r="J185" s="87"/>
      <c r="K185" s="87"/>
      <c r="L185" s="87"/>
      <c r="M185" s="87"/>
      <c r="N185" s="87"/>
      <c r="O185" s="87"/>
      <c r="P185" s="87"/>
      <c r="Q185" s="87"/>
      <c r="R185" s="87"/>
      <c r="S185" s="87"/>
      <c r="T185" s="87"/>
      <c r="U185" s="87"/>
    </row>
    <row r="186" spans="1:21" s="547" customFormat="1" ht="18.75" customHeight="1">
      <c r="A186" s="545"/>
      <c r="B186" s="545"/>
      <c r="C186" s="546" t="s">
        <v>2454</v>
      </c>
      <c r="D186" s="1101" t="s">
        <v>2455</v>
      </c>
      <c r="E186" s="1101"/>
      <c r="F186" s="1101"/>
      <c r="G186" s="1101"/>
      <c r="H186" s="1101"/>
      <c r="I186" s="1101"/>
      <c r="J186" s="545"/>
      <c r="K186" s="545"/>
      <c r="L186" s="545"/>
      <c r="M186" s="545"/>
      <c r="N186" s="545"/>
      <c r="O186" s="545"/>
      <c r="P186" s="545"/>
      <c r="Q186" s="545"/>
      <c r="R186" s="545"/>
      <c r="S186" s="545"/>
      <c r="T186" s="545"/>
      <c r="U186" s="545"/>
    </row>
    <row r="187" spans="1:21" ht="17.25" customHeight="1">
      <c r="A187" s="87"/>
      <c r="B187" s="1092" t="s">
        <v>2456</v>
      </c>
      <c r="C187" s="1092"/>
      <c r="D187" s="1092"/>
      <c r="E187" s="1092"/>
      <c r="F187" s="1092"/>
      <c r="G187" s="1092"/>
      <c r="H187" s="1092"/>
      <c r="I187" s="1092"/>
      <c r="J187" s="87"/>
      <c r="K187" s="87"/>
      <c r="L187" s="87"/>
      <c r="M187" s="87"/>
      <c r="N187" s="87"/>
      <c r="O187" s="87"/>
      <c r="P187" s="87"/>
      <c r="Q187" s="87"/>
      <c r="R187" s="87"/>
      <c r="S187" s="87"/>
      <c r="T187" s="87"/>
      <c r="U187" s="87"/>
    </row>
    <row r="188" spans="1:21" ht="30" customHeight="1">
      <c r="A188" s="87"/>
      <c r="B188" s="1091" t="s">
        <v>2457</v>
      </c>
      <c r="C188" s="1092"/>
      <c r="D188" s="1092"/>
      <c r="E188" s="1092"/>
      <c r="F188" s="1092"/>
      <c r="G188" s="1092"/>
      <c r="H188" s="1092"/>
      <c r="I188" s="1092"/>
      <c r="J188" s="87"/>
      <c r="K188" s="87"/>
      <c r="L188" s="87"/>
      <c r="M188" s="87"/>
      <c r="N188" s="87"/>
      <c r="O188" s="87"/>
      <c r="P188" s="87"/>
      <c r="Q188" s="87"/>
      <c r="R188" s="87"/>
      <c r="S188" s="87"/>
      <c r="T188" s="87"/>
      <c r="U188" s="87"/>
    </row>
    <row r="189" spans="1:21">
      <c r="A189" s="87"/>
      <c r="B189" s="87"/>
      <c r="C189" s="87"/>
      <c r="D189" s="87"/>
      <c r="E189" s="87"/>
      <c r="F189" s="87"/>
      <c r="G189" s="87"/>
      <c r="H189" s="87"/>
      <c r="I189" s="87"/>
      <c r="J189" s="87"/>
      <c r="K189" s="87"/>
      <c r="L189" s="87"/>
      <c r="M189" s="87"/>
      <c r="N189" s="87"/>
      <c r="O189" s="87"/>
      <c r="P189" s="87"/>
      <c r="Q189" s="87"/>
      <c r="R189" s="87"/>
      <c r="S189" s="87"/>
      <c r="T189" s="87"/>
      <c r="U189" s="87"/>
    </row>
    <row r="190" spans="1:21" ht="382.5" customHeight="1">
      <c r="A190" s="87"/>
      <c r="B190" s="87"/>
      <c r="C190" s="87"/>
      <c r="D190" s="87"/>
      <c r="E190" s="87"/>
      <c r="F190" s="87"/>
      <c r="G190" s="87"/>
      <c r="H190" s="87"/>
      <c r="I190" s="87"/>
      <c r="J190" s="87"/>
      <c r="K190" s="87"/>
      <c r="L190" s="87"/>
      <c r="M190" s="87"/>
      <c r="N190" s="87"/>
      <c r="O190" s="87"/>
      <c r="P190" s="87"/>
      <c r="Q190" s="87"/>
      <c r="R190" s="87"/>
      <c r="S190" s="87"/>
      <c r="T190" s="87"/>
      <c r="U190" s="87"/>
    </row>
    <row r="191" spans="1:21" ht="30" customHeight="1">
      <c r="A191" s="87"/>
      <c r="B191" s="1091" t="s">
        <v>2458</v>
      </c>
      <c r="C191" s="1092"/>
      <c r="D191" s="1092"/>
      <c r="E191" s="1092"/>
      <c r="F191" s="1092"/>
      <c r="G191" s="1092"/>
      <c r="H191" s="1092"/>
      <c r="I191" s="1092"/>
      <c r="J191" s="87"/>
      <c r="K191" s="87"/>
      <c r="L191" s="87"/>
      <c r="M191" s="87"/>
      <c r="N191" s="87"/>
      <c r="O191" s="87"/>
      <c r="P191" s="87"/>
      <c r="Q191" s="87"/>
      <c r="R191" s="87"/>
      <c r="S191" s="87"/>
      <c r="T191" s="87"/>
      <c r="U191" s="87"/>
    </row>
    <row r="192" spans="1:21" ht="18.75">
      <c r="A192" s="87"/>
      <c r="B192" s="1096" t="s">
        <v>2469</v>
      </c>
      <c r="C192" s="1096"/>
      <c r="D192" s="1096"/>
      <c r="E192" s="1096"/>
      <c r="F192" s="1096"/>
      <c r="G192" s="1096"/>
      <c r="H192" s="1096"/>
      <c r="I192" s="1096"/>
      <c r="J192" s="87"/>
      <c r="K192" s="87"/>
      <c r="L192" s="87"/>
      <c r="M192" s="87"/>
      <c r="N192" s="87"/>
      <c r="O192" s="87"/>
      <c r="P192" s="87"/>
      <c r="Q192" s="87"/>
      <c r="R192" s="87"/>
      <c r="S192" s="87"/>
      <c r="T192" s="87"/>
      <c r="U192" s="87"/>
    </row>
    <row r="193" spans="1:21" ht="30" customHeight="1">
      <c r="A193" s="87"/>
      <c r="B193" s="1091" t="s">
        <v>2470</v>
      </c>
      <c r="C193" s="1092"/>
      <c r="D193" s="1092"/>
      <c r="E193" s="1092"/>
      <c r="F193" s="1092"/>
      <c r="G193" s="1092"/>
      <c r="H193" s="1092"/>
      <c r="I193" s="1092"/>
      <c r="J193" s="87"/>
      <c r="K193" s="87"/>
      <c r="L193" s="87"/>
      <c r="M193" s="87"/>
      <c r="N193" s="87"/>
      <c r="O193" s="87"/>
      <c r="P193" s="87"/>
      <c r="Q193" s="87"/>
      <c r="R193" s="87"/>
      <c r="S193" s="87"/>
      <c r="T193" s="87"/>
      <c r="U193" s="87"/>
    </row>
    <row r="194" spans="1:21" ht="44.25" customHeight="1">
      <c r="A194" s="87"/>
      <c r="B194" s="1091" t="s">
        <v>2471</v>
      </c>
      <c r="C194" s="1092"/>
      <c r="D194" s="1092"/>
      <c r="E194" s="1092"/>
      <c r="F194" s="1092"/>
      <c r="G194" s="1092"/>
      <c r="H194" s="1092"/>
      <c r="I194" s="1092"/>
      <c r="J194" s="87"/>
      <c r="K194" s="87"/>
      <c r="L194" s="87"/>
      <c r="M194" s="87"/>
      <c r="N194" s="87"/>
      <c r="O194" s="87"/>
      <c r="P194" s="87"/>
      <c r="Q194" s="87"/>
      <c r="R194" s="87"/>
      <c r="S194" s="87"/>
      <c r="T194" s="87"/>
      <c r="U194" s="87"/>
    </row>
    <row r="195" spans="1:21" ht="44.25" customHeight="1">
      <c r="A195" s="87"/>
      <c r="B195" s="1091" t="s">
        <v>2471</v>
      </c>
      <c r="C195" s="1092"/>
      <c r="D195" s="1092"/>
      <c r="E195" s="1092"/>
      <c r="F195" s="1092"/>
      <c r="G195" s="1092"/>
      <c r="H195" s="1092"/>
      <c r="I195" s="1092"/>
      <c r="J195" s="87"/>
      <c r="K195" s="87"/>
      <c r="L195" s="87"/>
      <c r="M195" s="87"/>
      <c r="N195" s="87"/>
      <c r="O195" s="87"/>
      <c r="P195" s="87"/>
      <c r="Q195" s="87"/>
      <c r="R195" s="87"/>
      <c r="S195" s="87"/>
      <c r="T195" s="87"/>
      <c r="U195" s="87"/>
    </row>
    <row r="196" spans="1:21" ht="15">
      <c r="A196" s="87"/>
      <c r="B196" s="1125" t="s">
        <v>2472</v>
      </c>
      <c r="C196" s="1125"/>
      <c r="D196" s="1125"/>
      <c r="E196" s="1125"/>
      <c r="F196" s="1125"/>
      <c r="G196" s="1125"/>
      <c r="H196" s="1125"/>
      <c r="I196" s="1125"/>
      <c r="J196" s="87"/>
      <c r="K196" s="87"/>
      <c r="L196" s="87"/>
      <c r="M196" s="87"/>
      <c r="N196" s="87"/>
      <c r="O196" s="87"/>
      <c r="P196" s="87"/>
      <c r="Q196" s="87"/>
      <c r="R196" s="87"/>
      <c r="S196" s="87"/>
      <c r="T196" s="87"/>
      <c r="U196" s="87"/>
    </row>
    <row r="197" spans="1:21">
      <c r="A197" s="87"/>
      <c r="B197" s="87">
        <v>1</v>
      </c>
      <c r="C197" s="1126" t="s">
        <v>2473</v>
      </c>
      <c r="D197" s="1124"/>
      <c r="E197" s="1124"/>
      <c r="F197" s="1124"/>
      <c r="G197" s="1124"/>
      <c r="H197" s="1124"/>
      <c r="I197" s="1124"/>
      <c r="J197" s="87"/>
      <c r="K197" s="87"/>
      <c r="L197" s="87"/>
      <c r="M197" s="87"/>
      <c r="N197" s="87"/>
      <c r="O197" s="87"/>
      <c r="P197" s="87"/>
      <c r="Q197" s="87"/>
      <c r="R197" s="87"/>
      <c r="S197" s="87"/>
    </row>
    <row r="198" spans="1:21" s="558" customFormat="1" ht="18.75" customHeight="1">
      <c r="A198" s="489"/>
      <c r="B198" s="489">
        <v>2</v>
      </c>
      <c r="C198" s="1099" t="s">
        <v>2474</v>
      </c>
      <c r="D198" s="1099"/>
      <c r="E198" s="1099"/>
      <c r="F198" s="1099"/>
      <c r="G198" s="1099"/>
      <c r="H198" s="1099"/>
      <c r="I198" s="1099"/>
      <c r="J198" s="489"/>
      <c r="K198" s="489"/>
      <c r="L198" s="489"/>
      <c r="M198" s="489"/>
      <c r="N198" s="489"/>
      <c r="O198" s="489"/>
      <c r="P198" s="489"/>
      <c r="Q198" s="489"/>
      <c r="R198" s="489"/>
      <c r="S198" s="489"/>
    </row>
    <row r="199" spans="1:21">
      <c r="A199" s="87"/>
      <c r="B199" s="87">
        <v>3</v>
      </c>
      <c r="C199" s="1124" t="s">
        <v>2475</v>
      </c>
      <c r="D199" s="1124"/>
      <c r="E199" s="1124"/>
      <c r="F199" s="1124"/>
      <c r="G199" s="1124"/>
      <c r="H199" s="1124"/>
      <c r="I199" s="1124"/>
      <c r="J199" s="87"/>
      <c r="K199" s="87"/>
      <c r="L199" s="87"/>
      <c r="M199" s="87"/>
      <c r="N199" s="87"/>
      <c r="O199" s="87"/>
      <c r="P199" s="87"/>
      <c r="Q199" s="87"/>
      <c r="R199" s="87"/>
      <c r="S199" s="87"/>
    </row>
    <row r="200" spans="1:21" ht="15.75" customHeight="1">
      <c r="A200" s="87"/>
      <c r="B200" s="87">
        <v>4</v>
      </c>
      <c r="C200" s="1124" t="s">
        <v>2476</v>
      </c>
      <c r="D200" s="1124"/>
      <c r="E200" s="1124"/>
      <c r="F200" s="1124"/>
      <c r="G200" s="1124"/>
      <c r="H200" s="1124"/>
      <c r="I200" s="1124"/>
      <c r="J200" s="87"/>
      <c r="K200" s="87"/>
      <c r="L200" s="87"/>
      <c r="M200" s="87"/>
      <c r="N200" s="87"/>
      <c r="O200" s="87"/>
      <c r="P200" s="87"/>
      <c r="Q200" s="87"/>
      <c r="R200" s="87"/>
      <c r="S200" s="87"/>
    </row>
    <row r="201" spans="1:21">
      <c r="A201" s="87"/>
      <c r="B201" s="87"/>
      <c r="C201" s="1124"/>
      <c r="D201" s="1124"/>
      <c r="E201" s="1124"/>
      <c r="F201" s="1124"/>
      <c r="G201" s="1124"/>
      <c r="H201" s="1124"/>
      <c r="I201" s="1124"/>
      <c r="J201" s="87"/>
      <c r="K201" s="87"/>
      <c r="L201" s="87"/>
      <c r="M201" s="87"/>
      <c r="N201" s="87"/>
      <c r="O201" s="87"/>
      <c r="P201" s="87"/>
      <c r="Q201" s="87"/>
      <c r="R201" s="87"/>
      <c r="S201" s="87"/>
    </row>
    <row r="202" spans="1:21" ht="18.75">
      <c r="A202" s="87"/>
      <c r="B202" s="1096" t="s">
        <v>2539</v>
      </c>
      <c r="C202" s="1096"/>
      <c r="D202" s="1096"/>
      <c r="E202" s="1096"/>
      <c r="F202" s="1096"/>
      <c r="G202" s="1096"/>
      <c r="H202" s="1096"/>
      <c r="I202" s="1096"/>
      <c r="J202" s="87"/>
      <c r="K202" s="87"/>
      <c r="L202" s="87"/>
      <c r="M202" s="87"/>
      <c r="N202" s="87"/>
      <c r="O202" s="87"/>
      <c r="P202" s="87"/>
      <c r="Q202" s="87"/>
      <c r="R202" s="87"/>
      <c r="S202" s="87"/>
    </row>
    <row r="203" spans="1:21" ht="15">
      <c r="A203" s="87"/>
      <c r="B203" s="539" t="s">
        <v>2540</v>
      </c>
      <c r="C203" s="1079" t="s">
        <v>2541</v>
      </c>
      <c r="D203" s="1079"/>
      <c r="E203" s="1079"/>
      <c r="F203" s="1079"/>
      <c r="G203" s="1079"/>
      <c r="H203" s="537"/>
      <c r="I203" s="87"/>
      <c r="J203" s="87"/>
      <c r="K203" s="87"/>
      <c r="L203" s="87"/>
      <c r="M203" s="87"/>
      <c r="N203" s="87"/>
      <c r="O203" s="87"/>
      <c r="P203" s="87"/>
      <c r="Q203" s="87"/>
      <c r="R203" s="87"/>
      <c r="S203" s="87"/>
    </row>
    <row r="204" spans="1:21" ht="15" customHeight="1">
      <c r="A204" s="87"/>
      <c r="B204" s="537"/>
      <c r="C204" s="1089" t="s">
        <v>2543</v>
      </c>
      <c r="D204" s="1078"/>
      <c r="E204" s="1078"/>
      <c r="F204" s="1078"/>
      <c r="G204" s="1078"/>
      <c r="H204" s="1078"/>
      <c r="I204" s="87"/>
      <c r="J204" s="87"/>
      <c r="K204" s="87"/>
      <c r="L204" s="87"/>
      <c r="M204" s="87"/>
      <c r="N204" s="87"/>
      <c r="O204" s="87"/>
      <c r="P204" s="87"/>
      <c r="Q204" s="87"/>
      <c r="R204" s="87"/>
      <c r="S204" s="87"/>
    </row>
    <row r="205" spans="1:21" ht="15" customHeight="1">
      <c r="A205" s="87"/>
      <c r="B205" s="537"/>
      <c r="C205" s="1089" t="s">
        <v>2587</v>
      </c>
      <c r="D205" s="1078"/>
      <c r="E205" s="1078"/>
      <c r="F205" s="1078"/>
      <c r="G205" s="1078"/>
      <c r="H205" s="1078"/>
      <c r="I205" s="87"/>
      <c r="J205" s="87"/>
      <c r="K205" s="87"/>
      <c r="L205" s="87"/>
      <c r="M205" s="87"/>
      <c r="N205" s="87"/>
      <c r="O205" s="87"/>
      <c r="P205" s="87"/>
      <c r="Q205" s="87"/>
      <c r="R205" s="87"/>
      <c r="S205" s="87"/>
    </row>
    <row r="206" spans="1:21" ht="15">
      <c r="A206" s="87"/>
      <c r="B206" s="539" t="s">
        <v>2540</v>
      </c>
      <c r="C206" s="1079" t="s">
        <v>2542</v>
      </c>
      <c r="D206" s="1079"/>
      <c r="E206" s="1079"/>
      <c r="F206" s="1079"/>
      <c r="G206" s="1079"/>
      <c r="H206" s="537"/>
      <c r="I206" s="87"/>
      <c r="J206" s="87"/>
      <c r="K206" s="87"/>
      <c r="L206" s="87"/>
      <c r="M206" s="87"/>
      <c r="N206" s="87"/>
      <c r="O206" s="87"/>
      <c r="P206" s="87"/>
      <c r="Q206" s="87"/>
      <c r="R206" s="87"/>
      <c r="S206" s="87"/>
    </row>
    <row r="207" spans="1:21" ht="15" customHeight="1">
      <c r="A207" s="87"/>
      <c r="B207" s="539"/>
      <c r="C207" s="1089" t="s">
        <v>2544</v>
      </c>
      <c r="D207" s="1078"/>
      <c r="E207" s="1078"/>
      <c r="F207" s="1078"/>
      <c r="G207" s="1078"/>
      <c r="H207" s="1078"/>
      <c r="I207" s="87"/>
      <c r="J207" s="87"/>
      <c r="K207" s="87"/>
      <c r="L207" s="87"/>
      <c r="M207" s="87"/>
      <c r="N207" s="87"/>
      <c r="O207" s="87"/>
      <c r="P207" s="87"/>
      <c r="Q207" s="87"/>
      <c r="R207" s="87"/>
      <c r="S207" s="87"/>
    </row>
    <row r="208" spans="1:21" ht="15" customHeight="1">
      <c r="A208" s="87"/>
      <c r="B208" s="539"/>
      <c r="C208" s="1028"/>
      <c r="D208" s="1027"/>
      <c r="E208" s="1027"/>
      <c r="F208" s="1027"/>
      <c r="G208" s="1027"/>
      <c r="H208" s="1027"/>
      <c r="I208" s="87"/>
      <c r="J208" s="87"/>
      <c r="K208" s="87"/>
      <c r="L208" s="87"/>
      <c r="M208" s="87"/>
      <c r="N208" s="87"/>
      <c r="O208" s="87"/>
      <c r="P208" s="87"/>
      <c r="Q208" s="87"/>
      <c r="R208" s="87"/>
      <c r="S208" s="87"/>
    </row>
    <row r="209" spans="1:19" ht="18.75" customHeight="1">
      <c r="A209" s="87"/>
      <c r="B209" s="1127" t="s">
        <v>3169</v>
      </c>
      <c r="C209" s="1127"/>
      <c r="D209" s="1127"/>
      <c r="E209" s="1127"/>
      <c r="F209" s="1127"/>
      <c r="G209" s="1127"/>
      <c r="H209" s="537"/>
      <c r="I209" s="87"/>
      <c r="J209" s="87"/>
      <c r="K209" s="87"/>
      <c r="L209" s="87"/>
      <c r="M209" s="87"/>
      <c r="N209" s="87"/>
      <c r="O209" s="87"/>
      <c r="P209" s="87"/>
      <c r="Q209" s="87"/>
      <c r="R209" s="87"/>
      <c r="S209" s="87"/>
    </row>
    <row r="210" spans="1:19" ht="29.25" customHeight="1">
      <c r="A210" s="87"/>
      <c r="B210" s="1029" t="s">
        <v>2397</v>
      </c>
      <c r="C210" s="1089" t="s">
        <v>3140</v>
      </c>
      <c r="D210" s="1078"/>
      <c r="E210" s="1078"/>
      <c r="F210" s="1078"/>
      <c r="G210" s="1078"/>
      <c r="H210" s="1078"/>
      <c r="I210" s="87"/>
      <c r="J210" s="87"/>
      <c r="K210" s="87"/>
      <c r="L210" s="87"/>
      <c r="M210" s="87"/>
      <c r="N210" s="87"/>
      <c r="O210" s="87"/>
      <c r="P210" s="87"/>
      <c r="Q210" s="87"/>
      <c r="R210" s="87"/>
      <c r="S210" s="87"/>
    </row>
    <row r="211" spans="1:19" ht="30.75" customHeight="1">
      <c r="A211" s="87"/>
      <c r="B211" s="1029" t="s">
        <v>2397</v>
      </c>
      <c r="C211" s="1089" t="s">
        <v>3142</v>
      </c>
      <c r="D211" s="1078"/>
      <c r="E211" s="1078"/>
      <c r="F211" s="1078"/>
      <c r="G211" s="1078"/>
      <c r="H211" s="1078"/>
      <c r="I211" s="87"/>
      <c r="J211" s="87"/>
      <c r="K211" s="87"/>
      <c r="L211" s="87"/>
      <c r="M211" s="87"/>
      <c r="N211" s="87"/>
      <c r="O211" s="87"/>
      <c r="P211" s="87"/>
      <c r="Q211" s="87"/>
      <c r="R211" s="87"/>
      <c r="S211" s="87"/>
    </row>
    <row r="212" spans="1:19" ht="15">
      <c r="A212" s="87"/>
      <c r="B212" s="1029" t="s">
        <v>2397</v>
      </c>
      <c r="C212" s="1089" t="s">
        <v>3141</v>
      </c>
      <c r="D212" s="1078"/>
      <c r="E212" s="1078"/>
      <c r="F212" s="1078"/>
      <c r="G212" s="1078"/>
      <c r="H212" s="1078"/>
      <c r="I212" s="87"/>
      <c r="J212" s="87"/>
      <c r="K212" s="87"/>
      <c r="L212" s="87"/>
      <c r="M212" s="87"/>
      <c r="N212" s="87"/>
      <c r="O212" s="87"/>
      <c r="P212" s="87"/>
      <c r="Q212" s="87"/>
      <c r="R212" s="87"/>
      <c r="S212" s="87"/>
    </row>
    <row r="213" spans="1:19" ht="180.75" customHeight="1">
      <c r="A213" s="87"/>
      <c r="B213" s="87"/>
      <c r="C213" s="87"/>
      <c r="D213" s="87"/>
      <c r="E213" s="87"/>
      <c r="F213" s="87"/>
      <c r="G213" s="87"/>
      <c r="H213" s="87"/>
      <c r="I213" s="87"/>
      <c r="J213" s="87"/>
      <c r="K213" s="87"/>
      <c r="L213" s="87"/>
      <c r="M213" s="87"/>
      <c r="N213" s="87"/>
      <c r="O213" s="87"/>
      <c r="P213" s="87"/>
      <c r="Q213" s="87"/>
      <c r="R213" s="87"/>
      <c r="S213" s="87"/>
    </row>
    <row r="214" spans="1:19" ht="409.5" customHeight="1">
      <c r="A214" s="87"/>
      <c r="B214" s="87"/>
      <c r="C214" s="87"/>
      <c r="D214" s="87"/>
      <c r="E214" s="87"/>
      <c r="F214" s="87"/>
      <c r="G214" s="87"/>
      <c r="H214" s="87"/>
      <c r="I214" s="87"/>
      <c r="J214" s="87"/>
      <c r="K214" s="87"/>
      <c r="L214" s="87"/>
      <c r="M214" s="87"/>
      <c r="N214" s="87"/>
      <c r="O214" s="87"/>
      <c r="P214" s="87"/>
      <c r="Q214" s="87"/>
      <c r="R214" s="87"/>
      <c r="S214" s="87"/>
    </row>
    <row r="215" spans="1:19">
      <c r="A215" s="87"/>
      <c r="B215" s="87"/>
      <c r="C215" s="87"/>
      <c r="D215" s="87"/>
      <c r="E215" s="87"/>
      <c r="F215" s="87"/>
      <c r="G215" s="87"/>
      <c r="H215" s="87"/>
      <c r="I215" s="87"/>
      <c r="J215" s="87"/>
      <c r="K215" s="87"/>
      <c r="L215" s="87"/>
      <c r="M215" s="87"/>
      <c r="N215" s="87"/>
      <c r="O215" s="87"/>
      <c r="P215" s="87"/>
      <c r="Q215" s="87"/>
      <c r="R215" s="87"/>
      <c r="S215" s="87"/>
    </row>
    <row r="216" spans="1:19">
      <c r="A216" s="87"/>
      <c r="B216" s="87"/>
      <c r="C216" s="87"/>
      <c r="D216" s="87"/>
      <c r="E216" s="87"/>
      <c r="F216" s="87"/>
      <c r="G216" s="87"/>
      <c r="H216" s="87"/>
      <c r="I216" s="87"/>
      <c r="J216" s="87"/>
      <c r="K216" s="87"/>
      <c r="L216" s="87"/>
      <c r="M216" s="87"/>
      <c r="N216" s="87"/>
      <c r="O216" s="87"/>
      <c r="P216" s="87"/>
      <c r="Q216" s="87"/>
      <c r="R216" s="87"/>
      <c r="S216" s="87"/>
    </row>
    <row r="217" spans="1:19">
      <c r="A217" s="87"/>
      <c r="B217" s="87"/>
      <c r="C217" s="87"/>
      <c r="D217" s="87"/>
      <c r="E217" s="87"/>
      <c r="F217" s="87"/>
      <c r="G217" s="87"/>
      <c r="H217" s="87"/>
      <c r="I217" s="87"/>
      <c r="J217" s="87"/>
      <c r="K217" s="87"/>
      <c r="L217" s="87"/>
      <c r="M217" s="87"/>
      <c r="N217" s="87"/>
      <c r="O217" s="87"/>
      <c r="P217" s="87"/>
      <c r="Q217" s="87"/>
      <c r="R217" s="87"/>
      <c r="S217" s="87"/>
    </row>
    <row r="218" spans="1:19">
      <c r="A218" s="87"/>
      <c r="B218" s="87"/>
      <c r="C218" s="87"/>
      <c r="D218" s="87"/>
      <c r="E218" s="87"/>
      <c r="F218" s="87"/>
      <c r="G218" s="87"/>
      <c r="H218" s="87"/>
      <c r="I218" s="87"/>
      <c r="J218" s="87"/>
      <c r="K218" s="87"/>
      <c r="L218" s="87"/>
      <c r="M218" s="87"/>
      <c r="N218" s="87"/>
      <c r="O218" s="87"/>
      <c r="P218" s="87"/>
      <c r="Q218" s="87"/>
      <c r="R218" s="87"/>
      <c r="S218" s="87"/>
    </row>
    <row r="219" spans="1:19">
      <c r="A219" s="87"/>
      <c r="B219" s="87"/>
      <c r="C219" s="87"/>
      <c r="D219" s="87"/>
      <c r="E219" s="87"/>
      <c r="F219" s="87"/>
      <c r="G219" s="87"/>
      <c r="H219" s="87"/>
      <c r="I219" s="87"/>
      <c r="J219" s="87"/>
      <c r="K219" s="87"/>
      <c r="L219" s="87"/>
      <c r="M219" s="87"/>
      <c r="N219" s="87"/>
      <c r="O219" s="87"/>
      <c r="P219" s="87"/>
      <c r="Q219" s="87"/>
      <c r="R219" s="87"/>
      <c r="S219" s="87"/>
    </row>
    <row r="220" spans="1:19">
      <c r="A220" s="87"/>
      <c r="B220" s="87"/>
      <c r="C220" s="87"/>
      <c r="D220" s="87"/>
      <c r="E220" s="87"/>
      <c r="F220" s="87"/>
      <c r="G220" s="87"/>
      <c r="H220" s="87"/>
      <c r="I220" s="87"/>
      <c r="J220" s="87"/>
      <c r="K220" s="87"/>
      <c r="L220" s="87"/>
      <c r="M220" s="87"/>
      <c r="N220" s="87"/>
      <c r="O220" s="87"/>
      <c r="P220" s="87"/>
      <c r="Q220" s="87"/>
      <c r="R220" s="87"/>
      <c r="S220" s="87"/>
    </row>
    <row r="221" spans="1:19">
      <c r="A221" s="87"/>
      <c r="B221" s="87"/>
      <c r="C221" s="87"/>
      <c r="D221" s="87"/>
      <c r="E221" s="87"/>
      <c r="F221" s="87"/>
      <c r="G221" s="87"/>
      <c r="H221" s="87"/>
      <c r="I221" s="87"/>
      <c r="J221" s="87"/>
      <c r="K221" s="87"/>
      <c r="L221" s="87"/>
      <c r="M221" s="87"/>
      <c r="N221" s="87"/>
      <c r="O221" s="87"/>
      <c r="P221" s="87"/>
      <c r="Q221" s="87"/>
      <c r="R221" s="87"/>
      <c r="S221" s="87"/>
    </row>
    <row r="222" spans="1:19">
      <c r="A222" s="87"/>
      <c r="B222" s="87"/>
      <c r="C222" s="87"/>
      <c r="D222" s="87"/>
      <c r="E222" s="87"/>
      <c r="F222" s="87"/>
      <c r="G222" s="87"/>
      <c r="H222" s="87"/>
      <c r="I222" s="87"/>
      <c r="J222" s="87"/>
      <c r="K222" s="87"/>
      <c r="L222" s="87"/>
      <c r="M222" s="87"/>
      <c r="N222" s="87"/>
      <c r="O222" s="87"/>
      <c r="P222" s="87"/>
      <c r="Q222" s="87"/>
      <c r="R222" s="87"/>
      <c r="S222" s="87"/>
    </row>
    <row r="223" spans="1:19">
      <c r="A223" s="87"/>
      <c r="B223" s="87"/>
      <c r="C223" s="87"/>
      <c r="D223" s="87"/>
      <c r="E223" s="87"/>
      <c r="F223" s="87"/>
      <c r="G223" s="87"/>
      <c r="H223" s="87"/>
      <c r="I223" s="87"/>
      <c r="J223" s="87"/>
      <c r="K223" s="87"/>
      <c r="L223" s="87"/>
      <c r="M223" s="87"/>
      <c r="N223" s="87"/>
      <c r="O223" s="87"/>
      <c r="P223" s="87"/>
      <c r="Q223" s="87"/>
      <c r="R223" s="87"/>
      <c r="S223" s="87"/>
    </row>
    <row r="224" spans="1:19">
      <c r="A224" s="87"/>
      <c r="B224" s="87"/>
      <c r="C224" s="87"/>
      <c r="D224" s="87"/>
      <c r="E224" s="87"/>
      <c r="F224" s="87"/>
      <c r="G224" s="87"/>
      <c r="H224" s="87"/>
      <c r="I224" s="87"/>
      <c r="J224" s="87"/>
      <c r="K224" s="87"/>
      <c r="L224" s="87"/>
      <c r="M224" s="87"/>
      <c r="N224" s="87"/>
      <c r="O224" s="87"/>
      <c r="P224" s="87"/>
      <c r="Q224" s="87"/>
      <c r="R224" s="87"/>
      <c r="S224" s="87"/>
    </row>
    <row r="225" spans="1:19">
      <c r="A225" s="87"/>
      <c r="C225" s="87"/>
      <c r="D225" s="87"/>
      <c r="E225" s="87"/>
      <c r="F225" s="87"/>
      <c r="G225" s="87"/>
      <c r="H225" s="87"/>
      <c r="I225" s="87"/>
      <c r="J225" s="87"/>
      <c r="K225" s="87"/>
      <c r="L225" s="87"/>
      <c r="M225" s="87"/>
      <c r="N225" s="87"/>
      <c r="O225" s="87"/>
      <c r="P225" s="87"/>
      <c r="Q225" s="87"/>
      <c r="R225" s="87"/>
      <c r="S225" s="87"/>
    </row>
  </sheetData>
  <sheetProtection algorithmName="SHA-512" hashValue="gsh3WCuMch2jmz/HUi2/vcJuGCtGaBegFF3LWtb/cV64x/XP+yXRqIv+n/2CVDk2ztgz8Q+5ZGgfCtzSJwlT1w==" saltValue="6yedjA1+JKec0TC1oQWA1g==" spinCount="100000" sheet="1" objects="1" scenarios="1" insertHyperlinks="0" pivotTables="0"/>
  <mergeCells count="160">
    <mergeCell ref="B209:G209"/>
    <mergeCell ref="C5:I5"/>
    <mergeCell ref="B132:I132"/>
    <mergeCell ref="B174:I174"/>
    <mergeCell ref="B175:I175"/>
    <mergeCell ref="B177:I177"/>
    <mergeCell ref="B166:I166"/>
    <mergeCell ref="B170:I170"/>
    <mergeCell ref="B140:I140"/>
    <mergeCell ref="B142:I142"/>
    <mergeCell ref="B143:I143"/>
    <mergeCell ref="B146:I146"/>
    <mergeCell ref="B147:I147"/>
    <mergeCell ref="B149:I149"/>
    <mergeCell ref="B150:I150"/>
    <mergeCell ref="B151:I151"/>
    <mergeCell ref="B164:D164"/>
    <mergeCell ref="B70:I70"/>
    <mergeCell ref="B76:I76"/>
    <mergeCell ref="B77:I77"/>
    <mergeCell ref="B79:I79"/>
    <mergeCell ref="B87:I87"/>
    <mergeCell ref="B202:I202"/>
    <mergeCell ref="C203:G203"/>
    <mergeCell ref="C199:I199"/>
    <mergeCell ref="C200:I200"/>
    <mergeCell ref="C201:I201"/>
    <mergeCell ref="B178:I178"/>
    <mergeCell ref="B195:I195"/>
    <mergeCell ref="B196:I196"/>
    <mergeCell ref="C197:I197"/>
    <mergeCell ref="B194:I194"/>
    <mergeCell ref="B187:I187"/>
    <mergeCell ref="B188:I188"/>
    <mergeCell ref="B191:I191"/>
    <mergeCell ref="B192:I192"/>
    <mergeCell ref="B193:I193"/>
    <mergeCell ref="C3:F3"/>
    <mergeCell ref="B12:I12"/>
    <mergeCell ref="B23:I23"/>
    <mergeCell ref="B24:I24"/>
    <mergeCell ref="C25:F25"/>
    <mergeCell ref="D40:F40"/>
    <mergeCell ref="B80:I80"/>
    <mergeCell ref="C81:I81"/>
    <mergeCell ref="B83:I83"/>
    <mergeCell ref="B55:I55"/>
    <mergeCell ref="D15:I15"/>
    <mergeCell ref="D16:I16"/>
    <mergeCell ref="D17:I17"/>
    <mergeCell ref="B69:I69"/>
    <mergeCell ref="B57:I57"/>
    <mergeCell ref="B58:I58"/>
    <mergeCell ref="B66:I66"/>
    <mergeCell ref="B67:I67"/>
    <mergeCell ref="B68:I68"/>
    <mergeCell ref="B41:I41"/>
    <mergeCell ref="C33:I33"/>
    <mergeCell ref="B10:I10"/>
    <mergeCell ref="B11:I11"/>
    <mergeCell ref="B78:I78"/>
    <mergeCell ref="B82:I82"/>
    <mergeCell ref="B84:I84"/>
    <mergeCell ref="B85:I85"/>
    <mergeCell ref="B86:I86"/>
    <mergeCell ref="B107:I107"/>
    <mergeCell ref="B116:I116"/>
    <mergeCell ref="B110:I110"/>
    <mergeCell ref="B104:I104"/>
    <mergeCell ref="B114:I114"/>
    <mergeCell ref="B115:I115"/>
    <mergeCell ref="B93:I93"/>
    <mergeCell ref="B94:I94"/>
    <mergeCell ref="B100:I100"/>
    <mergeCell ref="C13:H13"/>
    <mergeCell ref="C32:I32"/>
    <mergeCell ref="B34:I34"/>
    <mergeCell ref="C36:I36"/>
    <mergeCell ref="C37:I37"/>
    <mergeCell ref="B27:I27"/>
    <mergeCell ref="C28:I28"/>
    <mergeCell ref="C29:I29"/>
    <mergeCell ref="B14:I14"/>
    <mergeCell ref="D19:I19"/>
    <mergeCell ref="D22:I22"/>
    <mergeCell ref="D21:I21"/>
    <mergeCell ref="D20:I20"/>
    <mergeCell ref="D18:I18"/>
    <mergeCell ref="B44:I44"/>
    <mergeCell ref="B26:I26"/>
    <mergeCell ref="B30:I30"/>
    <mergeCell ref="B49:I49"/>
    <mergeCell ref="B50:I50"/>
    <mergeCell ref="B45:I45"/>
    <mergeCell ref="B43:I43"/>
    <mergeCell ref="B46:I46"/>
    <mergeCell ref="B47:I47"/>
    <mergeCell ref="B48:I48"/>
    <mergeCell ref="C39:I39"/>
    <mergeCell ref="C31:I31"/>
    <mergeCell ref="C35:I35"/>
    <mergeCell ref="C38:I38"/>
    <mergeCell ref="C42:I42"/>
    <mergeCell ref="B125:I125"/>
    <mergeCell ref="B103:I103"/>
    <mergeCell ref="B108:I108"/>
    <mergeCell ref="B112:I112"/>
    <mergeCell ref="B111:I111"/>
    <mergeCell ref="B118:I118"/>
    <mergeCell ref="B102:I102"/>
    <mergeCell ref="B109:I109"/>
    <mergeCell ref="B119:I119"/>
    <mergeCell ref="C211:H211"/>
    <mergeCell ref="B120:I120"/>
    <mergeCell ref="B117:I117"/>
    <mergeCell ref="C206:G206"/>
    <mergeCell ref="C204:H204"/>
    <mergeCell ref="C205:H205"/>
    <mergeCell ref="C207:H207"/>
    <mergeCell ref="B165:D165"/>
    <mergeCell ref="E165:I165"/>
    <mergeCell ref="B167:I167"/>
    <mergeCell ref="B169:I169"/>
    <mergeCell ref="B168:I168"/>
    <mergeCell ref="B183:I183"/>
    <mergeCell ref="B184:I184"/>
    <mergeCell ref="B185:I185"/>
    <mergeCell ref="D186:I186"/>
    <mergeCell ref="B153:I153"/>
    <mergeCell ref="C154:J154"/>
    <mergeCell ref="B158:I158"/>
    <mergeCell ref="C159:J159"/>
    <mergeCell ref="B126:I126"/>
    <mergeCell ref="B127:I127"/>
    <mergeCell ref="B172:I172"/>
    <mergeCell ref="C198:I198"/>
    <mergeCell ref="C212:H212"/>
    <mergeCell ref="B121:I121"/>
    <mergeCell ref="B122:I122"/>
    <mergeCell ref="B123:I123"/>
    <mergeCell ref="B124:I124"/>
    <mergeCell ref="B139:I139"/>
    <mergeCell ref="B137:I137"/>
    <mergeCell ref="B134:I134"/>
    <mergeCell ref="B135:I135"/>
    <mergeCell ref="B136:I136"/>
    <mergeCell ref="B129:I129"/>
    <mergeCell ref="B163:I163"/>
    <mergeCell ref="E164:I164"/>
    <mergeCell ref="B152:I152"/>
    <mergeCell ref="B156:I156"/>
    <mergeCell ref="B157:I157"/>
    <mergeCell ref="B161:I161"/>
    <mergeCell ref="B162:I162"/>
    <mergeCell ref="C144:J144"/>
    <mergeCell ref="B180:I180"/>
    <mergeCell ref="B181:I181"/>
    <mergeCell ref="B131:I131"/>
    <mergeCell ref="C210:H210"/>
    <mergeCell ref="B171:I171"/>
  </mergeCells>
  <hyperlinks>
    <hyperlink ref="J1" location="'Terms of Use'!A1" display="(C) 2017" xr:uid="{00000000-0004-0000-0100-000000000000}"/>
    <hyperlink ref="C3" r:id="rId1" display="mailto:mccoyg@energy.wsu.edu" xr:uid="{00000000-0004-0000-0100-000001000000}"/>
    <hyperlink ref="D15" r:id="rId2" xr:uid="{00000000-0004-0000-0100-000002000000}"/>
    <hyperlink ref="D22" r:id="rId3" xr:uid="{00000000-0004-0000-0100-000003000000}"/>
    <hyperlink ref="D16" r:id="rId4" xr:uid="{00000000-0004-0000-0100-000004000000}"/>
    <hyperlink ref="D17" r:id="rId5" xr:uid="{00000000-0004-0000-0100-000005000000}"/>
    <hyperlink ref="D20" display="https://www.sbcc.wa.gov/sites/default/files/2019-12/2015_IRC_Final_2.pdf#:~:text=Authority%3A%20The%20International%20Residential%20Code%20%28Chapter%2051-51%20WAC%29,reference%20by%20the%20Washington%20State%20Legislature%20in%201974.%20originalAttribute" xr:uid="{00000000-0004-0000-0100-000006000000}"/>
    <hyperlink ref="D19" r:id="rId6" xr:uid="{00000000-0004-0000-0100-000007000000}"/>
    <hyperlink ref="E165" r:id="rId7" xr:uid="{00000000-0004-0000-0100-000008000000}"/>
    <hyperlink ref="D21:I21" r:id="rId8" display="http://www.energy.wsu.edu/Documents/ga_2015WSEC_Appx.pdf" xr:uid="{00000000-0004-0000-0100-000009000000}"/>
    <hyperlink ref="D186:I186" r:id="rId9" display="http://www.energy.wsu.edu/Documents/ga_2015WSEC_Appx.pdf" xr:uid="{00000000-0004-0000-0100-00000A000000}"/>
    <hyperlink ref="D40" r:id="rId10" xr:uid="{00000000-0004-0000-0100-00000B000000}"/>
    <hyperlink ref="C81:I81" r:id="rId11" display=" http://www.energy.wsu.edu/Documents/Alterations%20Remodel%20Worksheet.xlsx" xr:uid="{00000000-0004-0000-0100-00000C000000}"/>
    <hyperlink ref="E164" r:id="rId12" xr:uid="{00000000-0004-0000-0100-00000D000000}"/>
    <hyperlink ref="C3:F3" r:id="rId13" display="For assistance contact: energycode@energy.wsu.edu" xr:uid="{00000000-0004-0000-0100-00000E000000}"/>
    <hyperlink ref="C25" r:id="rId14" xr:uid="{00000000-0004-0000-0100-00000F000000}"/>
    <hyperlink ref="C25:F25" r:id="rId15" display="For assistance contact: energycode@energy.wsu.edu" xr:uid="{00000000-0004-0000-0100-000010000000}"/>
    <hyperlink ref="B86:I86" r:id="rId16" location="Permit" display="https://www.energy.wsu.edu/BuildingEfficiency/EnergyCode.aspx#Permit" xr:uid="{00000000-0004-0000-0100-000011000000}"/>
    <hyperlink ref="B86" r:id="rId17" location="Permit" xr:uid="{00000000-0004-0000-0100-000012000000}"/>
    <hyperlink ref="C144:J144" r:id="rId18" location="FAQs" display="https://www.energy.wsu.edu/BuildingEfficiency/EnergyCode/AdditionalResources.aspx#FAQs" xr:uid="{00000000-0004-0000-0100-000013000000}"/>
    <hyperlink ref="C154:J154" r:id="rId19" location="FAQs" display="https://www.energy.wsu.edu/BuildingEfficiency/EnergyCode/AdditionalResources.aspx#FAQs" xr:uid="{00000000-0004-0000-0100-000014000000}"/>
    <hyperlink ref="C159:J159" r:id="rId20" location="FAQs" display="https://www.energy.wsu.edu/BuildingEfficiency/EnergyCode/AdditionalResources.aspx#FAQs" xr:uid="{00000000-0004-0000-0100-000015000000}"/>
  </hyperlinks>
  <pageMargins left="0.25" right="0.25" top="0.75" bottom="0.75" header="0.3" footer="0.3"/>
  <pageSetup scale="77" fitToHeight="0" orientation="portrait" useFirstPageNumber="1" r:id="rId21"/>
  <headerFooter>
    <oddHeader>&amp;CWSU Code Compliance Calculator</oddHeader>
    <oddFooter>&amp;C5/5/2021&amp;LI:\2018 WSEC\Forms and guides\Code Compliance Calculator\Option Exploration\WSU_C3_20210504b~Small Prototype~Option 1.8.xlsm&amp;R5/5/2021</oddFooter>
  </headerFooter>
  <drawing r:id="rId22"/>
  <legacyDrawing r:id="rId23"/>
  <mc:AlternateContent xmlns:mc="http://schemas.openxmlformats.org/markup-compatibility/2006">
    <mc:Choice Requires="x14">
      <controls>
        <mc:AlternateContent xmlns:mc="http://schemas.openxmlformats.org/markup-compatibility/2006">
          <mc:Choice Requires="x14">
            <control shapeId="23553" r:id="rId24" name="Button 1">
              <controlPr defaultSize="0" print="0" autoFill="0" autoPict="0" macro="[0]!Go_to_GroupR">
                <anchor moveWithCells="1" sizeWithCells="1">
                  <from>
                    <xdr:col>1</xdr:col>
                    <xdr:colOff>381000</xdr:colOff>
                    <xdr:row>5</xdr:row>
                    <xdr:rowOff>114300</xdr:rowOff>
                  </from>
                  <to>
                    <xdr:col>8</xdr:col>
                    <xdr:colOff>638175</xdr:colOff>
                    <xdr:row>8</xdr:row>
                    <xdr:rowOff>38100</xdr:rowOff>
                  </to>
                </anchor>
              </controlPr>
            </control>
          </mc:Choice>
        </mc:AlternateContent>
        <mc:AlternateContent xmlns:mc="http://schemas.openxmlformats.org/markup-compatibility/2006">
          <mc:Choice Requires="x14">
            <control shapeId="23554" r:id="rId25" name="Button 2">
              <controlPr defaultSize="0" print="0" autoFill="0" autoPict="0" macro="[0]!Print_GettingStarted_Simple">
                <anchor moveWithCells="1">
                  <from>
                    <xdr:col>9</xdr:col>
                    <xdr:colOff>1038225</xdr:colOff>
                    <xdr:row>0</xdr:row>
                    <xdr:rowOff>19050</xdr:rowOff>
                  </from>
                  <to>
                    <xdr:col>11</xdr:col>
                    <xdr:colOff>85725</xdr:colOff>
                    <xdr:row>0</xdr:row>
                    <xdr:rowOff>200025</xdr:rowOff>
                  </to>
                </anchor>
              </controlPr>
            </control>
          </mc:Choice>
        </mc:AlternateContent>
        <mc:AlternateContent xmlns:mc="http://schemas.openxmlformats.org/markup-compatibility/2006">
          <mc:Choice Requires="x14">
            <control shapeId="23555" r:id="rId26" name="Button 3">
              <controlPr defaultSize="0" print="0" autoFill="0" autoPict="0" macro="[0]!SelectPrinterDialog_GettingStarted">
                <anchor moveWithCells="1">
                  <from>
                    <xdr:col>11</xdr:col>
                    <xdr:colOff>76200</xdr:colOff>
                    <xdr:row>0</xdr:row>
                    <xdr:rowOff>19050</xdr:rowOff>
                  </from>
                  <to>
                    <xdr:col>12</xdr:col>
                    <xdr:colOff>647700</xdr:colOff>
                    <xdr:row>0</xdr:row>
                    <xdr:rowOff>200025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Instructions"/>
  <dimension ref="A1:C126"/>
  <sheetViews>
    <sheetView zoomScaleNormal="100" workbookViewId="0">
      <selection activeCell="A10" sqref="A10"/>
    </sheetView>
  </sheetViews>
  <sheetFormatPr defaultColWidth="9.140625" defaultRowHeight="12.75"/>
  <cols>
    <col min="1" max="1" width="89.28515625" style="2" customWidth="1"/>
    <col min="2" max="2" width="9.140625" style="1"/>
    <col min="3" max="3" width="42.28515625" style="1" customWidth="1"/>
    <col min="4" max="16384" width="9.140625" style="1"/>
  </cols>
  <sheetData>
    <row r="1" spans="1:1" ht="15.75">
      <c r="A1" s="10" t="s">
        <v>1915</v>
      </c>
    </row>
    <row r="3" spans="1:1" ht="41.25" customHeight="1">
      <c r="A3" s="38" t="s">
        <v>2396</v>
      </c>
    </row>
    <row r="5" spans="1:1" ht="38.25" customHeight="1">
      <c r="A5" s="38" t="s">
        <v>452</v>
      </c>
    </row>
    <row r="7" spans="1:1">
      <c r="A7" s="38" t="s">
        <v>1370</v>
      </c>
    </row>
    <row r="8" spans="1:1">
      <c r="A8" s="5" t="s">
        <v>1387</v>
      </c>
    </row>
    <row r="10" spans="1:1">
      <c r="A10" s="4" t="s">
        <v>331</v>
      </c>
    </row>
    <row r="12" spans="1:1">
      <c r="A12" s="35" t="s">
        <v>1912</v>
      </c>
    </row>
    <row r="13" spans="1:1">
      <c r="A13" s="3" t="s">
        <v>332</v>
      </c>
    </row>
    <row r="14" spans="1:1">
      <c r="A14" s="3" t="s">
        <v>333</v>
      </c>
    </row>
    <row r="15" spans="1:1">
      <c r="A15" s="3" t="s">
        <v>1914</v>
      </c>
    </row>
    <row r="16" spans="1:1">
      <c r="A16" s="38" t="s">
        <v>1972</v>
      </c>
    </row>
    <row r="17" spans="1:1">
      <c r="A17" s="3" t="s">
        <v>334</v>
      </c>
    </row>
    <row r="18" spans="1:1">
      <c r="A18" s="38" t="s">
        <v>1963</v>
      </c>
    </row>
    <row r="19" spans="1:1">
      <c r="A19" s="2" t="s">
        <v>335</v>
      </c>
    </row>
    <row r="20" spans="1:1">
      <c r="A20" s="2" t="s">
        <v>336</v>
      </c>
    </row>
    <row r="21" spans="1:1">
      <c r="A21" s="2" t="s">
        <v>337</v>
      </c>
    </row>
    <row r="22" spans="1:1">
      <c r="A22" s="2" t="s">
        <v>338</v>
      </c>
    </row>
    <row r="23" spans="1:1">
      <c r="A23" s="2" t="s">
        <v>339</v>
      </c>
    </row>
    <row r="24" spans="1:1">
      <c r="A24" s="2" t="s">
        <v>340</v>
      </c>
    </row>
    <row r="25" spans="1:1">
      <c r="A25" s="2" t="s">
        <v>341</v>
      </c>
    </row>
    <row r="26" spans="1:1">
      <c r="A26" s="2" t="s">
        <v>342</v>
      </c>
    </row>
    <row r="27" spans="1:1">
      <c r="A27" s="2" t="s">
        <v>343</v>
      </c>
    </row>
    <row r="28" spans="1:1">
      <c r="A28" s="2" t="s">
        <v>344</v>
      </c>
    </row>
    <row r="29" spans="1:1">
      <c r="A29" s="1"/>
    </row>
    <row r="32" spans="1:1">
      <c r="A32" s="6" t="s">
        <v>334</v>
      </c>
    </row>
    <row r="33" spans="1:1">
      <c r="A33" s="6"/>
    </row>
    <row r="34" spans="1:1" ht="25.5">
      <c r="A34" s="41" t="s">
        <v>1960</v>
      </c>
    </row>
    <row r="35" spans="1:1">
      <c r="A35" s="7"/>
    </row>
    <row r="36" spans="1:1" ht="38.25">
      <c r="A36" s="7" t="s">
        <v>1882</v>
      </c>
    </row>
    <row r="37" spans="1:1">
      <c r="A37" s="7"/>
    </row>
    <row r="38" spans="1:1">
      <c r="A38" s="8" t="s">
        <v>1879</v>
      </c>
    </row>
    <row r="39" spans="1:1">
      <c r="A39" s="7"/>
    </row>
    <row r="40" spans="1:1" ht="51">
      <c r="A40" s="7" t="s">
        <v>1878</v>
      </c>
    </row>
    <row r="41" spans="1:1">
      <c r="A41" s="7"/>
    </row>
    <row r="42" spans="1:1">
      <c r="A42" s="7" t="s">
        <v>1378</v>
      </c>
    </row>
    <row r="43" spans="1:1" ht="25.5">
      <c r="A43" s="9" t="s">
        <v>1881</v>
      </c>
    </row>
    <row r="44" spans="1:1" ht="38.25">
      <c r="A44" s="9" t="s">
        <v>453</v>
      </c>
    </row>
    <row r="45" spans="1:1" ht="38.25">
      <c r="A45" s="9" t="s">
        <v>1393</v>
      </c>
    </row>
    <row r="46" spans="1:1" ht="25.5" customHeight="1">
      <c r="A46" s="42" t="s">
        <v>1880</v>
      </c>
    </row>
    <row r="47" spans="1:1">
      <c r="A47" s="9"/>
    </row>
    <row r="48" spans="1:1" ht="153">
      <c r="A48" s="34" t="s">
        <v>1961</v>
      </c>
    </row>
    <row r="50" spans="1:1">
      <c r="A50" s="4" t="s">
        <v>1371</v>
      </c>
    </row>
    <row r="51" spans="1:1" ht="18" customHeight="1"/>
    <row r="52" spans="1:1" ht="25.5">
      <c r="A52" s="2" t="s">
        <v>1372</v>
      </c>
    </row>
    <row r="53" spans="1:1" ht="25.5" customHeight="1"/>
    <row r="54" spans="1:1">
      <c r="A54" s="3" t="s">
        <v>1373</v>
      </c>
    </row>
    <row r="56" spans="1:1" ht="51">
      <c r="A56" s="38" t="s">
        <v>1962</v>
      </c>
    </row>
    <row r="58" spans="1:1">
      <c r="A58" s="3" t="s">
        <v>1374</v>
      </c>
    </row>
    <row r="60" spans="1:1" ht="25.5">
      <c r="A60" s="2" t="s">
        <v>1375</v>
      </c>
    </row>
    <row r="62" spans="1:1">
      <c r="A62" s="2" t="s">
        <v>1376</v>
      </c>
    </row>
    <row r="63" spans="1:1" ht="38.25">
      <c r="A63" s="5" t="s">
        <v>1974</v>
      </c>
    </row>
    <row r="64" spans="1:1">
      <c r="A64" s="5" t="s">
        <v>1388</v>
      </c>
    </row>
    <row r="66" spans="1:1" ht="25.5">
      <c r="A66" s="2" t="s">
        <v>1377</v>
      </c>
    </row>
    <row r="68" spans="1:1">
      <c r="A68" s="4" t="s">
        <v>1916</v>
      </c>
    </row>
    <row r="69" spans="1:1">
      <c r="A69" s="3" t="s">
        <v>1350</v>
      </c>
    </row>
    <row r="70" spans="1:1">
      <c r="A70" s="3" t="s">
        <v>1917</v>
      </c>
    </row>
    <row r="72" spans="1:1" ht="25.5">
      <c r="A72" s="2" t="s">
        <v>1883</v>
      </c>
    </row>
    <row r="73" spans="1:1" ht="27" customHeight="1"/>
    <row r="74" spans="1:1" ht="38.25">
      <c r="A74" s="2" t="s">
        <v>1884</v>
      </c>
    </row>
    <row r="76" spans="1:1" ht="25.5">
      <c r="A76" s="2" t="s">
        <v>1885</v>
      </c>
    </row>
    <row r="78" spans="1:1" ht="25.5">
      <c r="A78" s="2" t="s">
        <v>1968</v>
      </c>
    </row>
    <row r="80" spans="1:1" ht="25.5">
      <c r="A80" s="2" t="s">
        <v>1969</v>
      </c>
    </row>
    <row r="82" spans="1:1" ht="102">
      <c r="A82" s="38" t="s">
        <v>1975</v>
      </c>
    </row>
    <row r="84" spans="1:1" ht="38.25">
      <c r="A84" s="2" t="s">
        <v>1886</v>
      </c>
    </row>
    <row r="86" spans="1:1" ht="63.75">
      <c r="A86" s="2" t="s">
        <v>1379</v>
      </c>
    </row>
    <row r="88" spans="1:1" ht="38.25">
      <c r="A88" s="2" t="s">
        <v>1380</v>
      </c>
    </row>
    <row r="90" spans="1:1">
      <c r="A90" s="3" t="s">
        <v>1389</v>
      </c>
    </row>
    <row r="92" spans="1:1" ht="25.5">
      <c r="A92" s="38" t="s">
        <v>2351</v>
      </c>
    </row>
    <row r="94" spans="1:1" ht="38.25">
      <c r="A94" s="2" t="s">
        <v>1381</v>
      </c>
    </row>
    <row r="96" spans="1:1" ht="51">
      <c r="A96" s="2" t="s">
        <v>1382</v>
      </c>
    </row>
    <row r="97" spans="1:3">
      <c r="A97" s="2" t="s">
        <v>1350</v>
      </c>
    </row>
    <row r="98" spans="1:3">
      <c r="A98" s="4" t="s">
        <v>1383</v>
      </c>
    </row>
    <row r="100" spans="1:3" ht="25.5">
      <c r="A100" s="2" t="s">
        <v>1971</v>
      </c>
    </row>
    <row r="102" spans="1:3" ht="38.25">
      <c r="A102" s="38" t="s">
        <v>1964</v>
      </c>
    </row>
    <row r="103" spans="1:3">
      <c r="C103" s="36"/>
    </row>
    <row r="104" spans="1:3">
      <c r="A104" s="4" t="s">
        <v>1390</v>
      </c>
    </row>
    <row r="106" spans="1:3" ht="12.75" customHeight="1"/>
    <row r="107" spans="1:3" ht="38.25">
      <c r="A107" s="2" t="s">
        <v>1887</v>
      </c>
    </row>
    <row r="108" spans="1:3" ht="14.25" customHeight="1">
      <c r="A108" s="4" t="s">
        <v>1391</v>
      </c>
    </row>
    <row r="110" spans="1:3" ht="51">
      <c r="A110" s="2" t="s">
        <v>1395</v>
      </c>
    </row>
    <row r="111" spans="1:3">
      <c r="A111" s="2" t="s">
        <v>1350</v>
      </c>
    </row>
    <row r="112" spans="1:3">
      <c r="A112" s="4" t="s">
        <v>1392</v>
      </c>
    </row>
    <row r="114" spans="1:1">
      <c r="A114" s="2" t="s">
        <v>1396</v>
      </c>
    </row>
    <row r="115" spans="1:1">
      <c r="A115" s="38" t="s">
        <v>2350</v>
      </c>
    </row>
    <row r="117" spans="1:1">
      <c r="A117" s="2" t="s">
        <v>1397</v>
      </c>
    </row>
    <row r="118" spans="1:1" ht="25.5">
      <c r="A118" s="2" t="s">
        <v>1394</v>
      </c>
    </row>
    <row r="119" spans="1:1">
      <c r="A119" s="2" t="s">
        <v>1384</v>
      </c>
    </row>
    <row r="120" spans="1:1">
      <c r="A120" s="2" t="s">
        <v>1385</v>
      </c>
    </row>
    <row r="122" spans="1:1" ht="38.25">
      <c r="A122" s="2" t="s">
        <v>1398</v>
      </c>
    </row>
    <row r="124" spans="1:1" ht="51">
      <c r="A124" s="2" t="s">
        <v>1970</v>
      </c>
    </row>
    <row r="126" spans="1:1">
      <c r="A126" s="2" t="s">
        <v>1386</v>
      </c>
    </row>
  </sheetData>
  <sheetProtection formatCells="0" insertHyperlinks="0" selectLockedCells="1" pivotTables="0"/>
  <customSheetViews>
    <customSheetView guid="{3A20BFFC-9D9E-415D-AC5D-1CC81DA9B04C}" scale="145" printArea="1" topLeftCell="A89">
      <selection activeCell="C125" sqref="C125"/>
      <pageMargins left="0.75" right="0.75" top="1" bottom="1" header="0.5" footer="0.5"/>
      <pageSetup orientation="portrait" r:id="rId1"/>
      <headerFooter alignWithMargins="0"/>
    </customSheetView>
  </customSheetViews>
  <phoneticPr fontId="0" type="noConversion"/>
  <pageMargins left="0.75" right="0.75" top="1" bottom="1" header="0.5" footer="0.5"/>
  <pageSetup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UnblockMacros">
    <tabColor theme="6" tint="0.39997558519241921"/>
  </sheetPr>
  <dimension ref="A1:V280"/>
  <sheetViews>
    <sheetView zoomScaleNormal="100" workbookViewId="0">
      <selection activeCell="J2" sqref="J2"/>
    </sheetView>
  </sheetViews>
  <sheetFormatPr defaultRowHeight="12.75"/>
  <cols>
    <col min="1" max="1" width="3.140625" customWidth="1"/>
    <col min="2" max="2" width="3" customWidth="1"/>
    <col min="3" max="5" width="19.5703125" customWidth="1"/>
    <col min="6" max="6" width="11.85546875" customWidth="1"/>
    <col min="7" max="7" width="19.5703125" customWidth="1"/>
    <col min="8" max="8" width="7" customWidth="1"/>
    <col min="9" max="9" width="24.5703125" customWidth="1"/>
    <col min="10" max="12" width="15.28515625" customWidth="1"/>
    <col min="19" max="19" width="15.42578125" customWidth="1"/>
  </cols>
  <sheetData>
    <row r="1" spans="1:22" ht="28.5">
      <c r="A1" s="1038"/>
      <c r="B1" s="527"/>
      <c r="C1" s="528" t="str">
        <f>'Getting Started'!C1</f>
        <v>WSU Code Compliance Calculator  - WSEC 2018 &amp; 2021</v>
      </c>
      <c r="D1" s="526"/>
      <c r="E1" s="528"/>
      <c r="F1" s="528"/>
      <c r="G1" s="528"/>
      <c r="H1" s="533"/>
      <c r="I1" s="527"/>
      <c r="J1" s="1047" t="s">
        <v>3001</v>
      </c>
      <c r="K1" s="527"/>
      <c r="L1" s="527"/>
      <c r="M1" s="1038"/>
      <c r="N1" s="1038"/>
      <c r="O1" s="1038"/>
      <c r="P1" s="1038"/>
      <c r="Q1" s="1038"/>
      <c r="R1" s="1038"/>
      <c r="S1" s="1038"/>
      <c r="T1" s="1038"/>
      <c r="U1" s="1038"/>
      <c r="V1" s="1038"/>
    </row>
    <row r="2" spans="1:22" ht="21">
      <c r="A2" s="530"/>
      <c r="B2" s="531"/>
      <c r="C2" s="532" t="str">
        <f>'Getting Started'!C2</f>
        <v xml:space="preserve">Washington State University  Energy Program </v>
      </c>
      <c r="D2" s="530"/>
      <c r="E2" s="532"/>
      <c r="F2" s="532"/>
      <c r="G2" s="532"/>
      <c r="H2" s="533"/>
      <c r="I2" s="531"/>
      <c r="J2" s="1048">
        <f>VersionDate</f>
        <v>45951.785555555558</v>
      </c>
      <c r="K2" s="531"/>
      <c r="L2" s="531"/>
      <c r="M2" s="530"/>
      <c r="N2" s="530"/>
      <c r="O2" s="530"/>
      <c r="P2" s="530"/>
      <c r="Q2" s="530"/>
      <c r="R2" s="530"/>
      <c r="S2" s="530"/>
      <c r="T2" s="530"/>
      <c r="U2" s="530"/>
      <c r="V2" s="530"/>
    </row>
    <row r="3" spans="1:22" ht="16.5" thickBot="1">
      <c r="A3" s="534"/>
      <c r="B3" s="535"/>
      <c r="C3" s="1088" t="str">
        <f>'Getting Started'!C3</f>
        <v>For assistance contact: energycode@energy.wsu.edu</v>
      </c>
      <c r="D3" s="1088"/>
      <c r="E3" s="1088"/>
      <c r="F3" s="1088"/>
      <c r="G3" s="1088"/>
      <c r="H3" s="1083"/>
      <c r="I3" s="1083"/>
      <c r="J3" s="1083"/>
      <c r="K3" s="1083"/>
      <c r="L3" s="1083"/>
      <c r="M3" s="534"/>
      <c r="N3" s="534"/>
      <c r="O3" s="534"/>
      <c r="P3" s="534"/>
      <c r="Q3" s="534"/>
      <c r="R3" s="534"/>
      <c r="S3" s="534"/>
      <c r="T3" s="534"/>
      <c r="U3" s="534"/>
      <c r="V3" s="534"/>
    </row>
    <row r="4" spans="1:22" ht="15">
      <c r="A4" s="537"/>
      <c r="B4" s="539"/>
      <c r="C4" s="1079" t="str">
        <f>IF('Getting Started'!C178="","",'Getting Started'!C178)</f>
        <v/>
      </c>
      <c r="D4" s="1079"/>
      <c r="E4" s="1079"/>
      <c r="F4" s="1079"/>
      <c r="G4" s="1079"/>
      <c r="H4" s="1079"/>
      <c r="I4" s="537"/>
      <c r="J4" s="537"/>
      <c r="K4" s="537"/>
      <c r="L4" s="537"/>
      <c r="M4" s="537"/>
      <c r="N4" s="537"/>
      <c r="O4" s="537"/>
      <c r="P4" s="537"/>
      <c r="Q4" s="537"/>
      <c r="R4" s="537"/>
      <c r="S4" s="537"/>
      <c r="T4" s="537"/>
      <c r="U4" s="537"/>
    </row>
    <row r="5" spans="1:22" ht="30" customHeight="1">
      <c r="A5" s="87"/>
      <c r="B5" s="1127" t="s">
        <v>3181</v>
      </c>
      <c r="C5" s="1127"/>
      <c r="D5" s="1127"/>
      <c r="E5" s="1127"/>
      <c r="F5" s="1127"/>
      <c r="G5" s="1127"/>
      <c r="H5" s="537"/>
      <c r="I5" s="537"/>
      <c r="J5" s="537"/>
      <c r="K5" s="537"/>
      <c r="L5" s="537"/>
      <c r="M5" s="537"/>
      <c r="N5" s="537"/>
      <c r="O5" s="537"/>
      <c r="P5" s="537"/>
      <c r="Q5" s="537"/>
      <c r="R5" s="537"/>
      <c r="S5" s="537"/>
      <c r="T5" s="537"/>
      <c r="U5" s="537"/>
    </row>
    <row r="6" spans="1:22" ht="30" customHeight="1">
      <c r="A6" s="87"/>
      <c r="B6" s="1089" t="s">
        <v>3182</v>
      </c>
      <c r="C6" s="1078"/>
      <c r="D6" s="1078"/>
      <c r="E6" s="1078"/>
      <c r="F6" s="1078"/>
      <c r="G6" s="1078"/>
      <c r="H6" s="537"/>
      <c r="I6" s="537"/>
      <c r="J6" s="537"/>
      <c r="K6" s="537"/>
      <c r="L6" s="537"/>
      <c r="M6" s="537"/>
      <c r="N6" s="537"/>
      <c r="O6" s="537"/>
      <c r="P6" s="537"/>
      <c r="Q6" s="537"/>
      <c r="R6" s="537"/>
      <c r="S6" s="537"/>
      <c r="T6" s="537"/>
      <c r="U6" s="537"/>
    </row>
    <row r="7" spans="1:22" ht="20.25" customHeight="1">
      <c r="A7" s="87"/>
      <c r="B7" s="1079" t="s">
        <v>3183</v>
      </c>
      <c r="C7" s="1079"/>
      <c r="D7" s="1079"/>
      <c r="E7" s="1079"/>
      <c r="F7" s="1079"/>
      <c r="G7" s="1079"/>
      <c r="H7" s="1079"/>
      <c r="I7" s="1079"/>
      <c r="J7" s="537"/>
      <c r="K7" s="537"/>
      <c r="L7" s="537"/>
      <c r="M7" s="537"/>
      <c r="N7" s="537"/>
      <c r="O7" s="537"/>
      <c r="P7" s="537"/>
      <c r="Q7" s="537"/>
      <c r="R7" s="537"/>
      <c r="S7" s="537"/>
      <c r="T7" s="537"/>
      <c r="U7" s="537"/>
    </row>
    <row r="8" spans="1:22" ht="69" customHeight="1">
      <c r="A8" s="87"/>
      <c r="B8" s="1129" t="s">
        <v>3184</v>
      </c>
      <c r="C8" s="1129"/>
      <c r="D8" s="1129"/>
      <c r="E8" s="1129"/>
      <c r="F8" s="1129"/>
      <c r="G8" s="1129"/>
      <c r="H8" s="1129"/>
      <c r="I8" s="537"/>
      <c r="J8" s="537"/>
      <c r="K8" s="537"/>
      <c r="L8" s="537"/>
      <c r="M8" s="537"/>
      <c r="N8" s="537"/>
      <c r="O8" s="537"/>
      <c r="P8" s="537"/>
      <c r="Q8" s="537"/>
      <c r="R8" s="537"/>
      <c r="S8" s="537"/>
      <c r="T8" s="537"/>
      <c r="U8" s="537"/>
    </row>
    <row r="9" spans="1:22" ht="34.5" customHeight="1">
      <c r="A9" s="87"/>
      <c r="B9" s="1129" t="s">
        <v>3180</v>
      </c>
      <c r="C9" s="1129"/>
      <c r="D9" s="1129"/>
      <c r="E9" s="1129"/>
      <c r="F9" s="1129"/>
      <c r="G9" s="1129"/>
      <c r="H9" s="1129"/>
      <c r="I9" s="537"/>
      <c r="J9" s="537"/>
      <c r="K9" s="537"/>
      <c r="L9" s="537"/>
      <c r="M9" s="537"/>
      <c r="N9" s="537"/>
      <c r="O9" s="537"/>
      <c r="P9" s="537"/>
      <c r="Q9" s="537"/>
      <c r="R9" s="537"/>
      <c r="S9" s="537"/>
      <c r="T9" s="537"/>
      <c r="U9" s="537"/>
    </row>
    <row r="10" spans="1:22" ht="30" customHeight="1">
      <c r="A10" s="87"/>
      <c r="B10" s="1127" t="s">
        <v>3185</v>
      </c>
      <c r="C10" s="1127"/>
      <c r="D10" s="1127"/>
      <c r="E10" s="1127"/>
      <c r="F10" s="1127"/>
      <c r="G10" s="1127"/>
      <c r="H10" s="537"/>
      <c r="I10" s="537"/>
      <c r="J10" s="537"/>
      <c r="K10" s="537"/>
      <c r="L10" s="537"/>
      <c r="M10" s="537"/>
      <c r="N10" s="537"/>
      <c r="O10" s="537"/>
      <c r="P10" s="537"/>
      <c r="Q10" s="537"/>
      <c r="R10" s="537"/>
      <c r="S10" s="537"/>
      <c r="T10" s="537"/>
      <c r="U10" s="537"/>
    </row>
    <row r="11" spans="1:22" ht="215.25" customHeight="1">
      <c r="A11" s="87"/>
      <c r="B11" s="1029"/>
      <c r="C11" s="1040"/>
      <c r="D11" s="1039"/>
      <c r="E11" s="1039"/>
      <c r="F11" s="1039"/>
      <c r="G11" s="1039"/>
      <c r="H11" s="1039"/>
      <c r="I11" s="537"/>
      <c r="J11" s="537"/>
      <c r="K11" s="537"/>
      <c r="L11" s="537"/>
      <c r="M11" s="537"/>
      <c r="N11" s="537"/>
      <c r="O11" s="537"/>
      <c r="P11" s="537"/>
      <c r="Q11" s="537"/>
      <c r="R11" s="537"/>
      <c r="S11" s="537"/>
      <c r="T11" s="537"/>
      <c r="U11" s="537"/>
    </row>
    <row r="12" spans="1:22" ht="30" customHeight="1">
      <c r="A12" s="87"/>
      <c r="B12" s="1127" t="s">
        <v>3186</v>
      </c>
      <c r="C12" s="1127"/>
      <c r="D12" s="1127"/>
      <c r="E12" s="1127"/>
      <c r="F12" s="1127"/>
      <c r="G12" s="1127"/>
      <c r="H12" s="537"/>
      <c r="I12" s="537"/>
      <c r="J12" s="537"/>
      <c r="K12" s="537"/>
      <c r="L12" s="537"/>
      <c r="M12" s="537"/>
      <c r="N12" s="537"/>
      <c r="O12" s="537"/>
      <c r="P12" s="537"/>
      <c r="Q12" s="537"/>
      <c r="R12" s="537"/>
      <c r="S12" s="537"/>
      <c r="T12" s="537"/>
      <c r="U12" s="537"/>
    </row>
    <row r="13" spans="1:22" ht="15">
      <c r="A13" s="87"/>
      <c r="B13" s="1029" t="s">
        <v>2397</v>
      </c>
      <c r="C13" s="1089" t="s">
        <v>3141</v>
      </c>
      <c r="D13" s="1078"/>
      <c r="E13" s="1078"/>
      <c r="F13" s="1078"/>
      <c r="G13" s="1078"/>
      <c r="H13" s="1078"/>
      <c r="I13" s="537"/>
      <c r="J13" s="537"/>
      <c r="K13" s="537"/>
      <c r="L13" s="537"/>
      <c r="M13" s="537"/>
      <c r="N13" s="537"/>
      <c r="O13" s="537"/>
      <c r="P13" s="537"/>
      <c r="Q13" s="537"/>
      <c r="R13" s="537"/>
      <c r="S13" s="537"/>
      <c r="T13" s="537"/>
      <c r="U13" s="537"/>
    </row>
    <row r="14" spans="1:22" ht="15">
      <c r="A14" s="537"/>
      <c r="B14" s="539"/>
      <c r="C14" s="1079" t="str">
        <f>IF('Getting Started'!C183="","",'Getting Started'!C183)</f>
        <v/>
      </c>
      <c r="D14" s="1079"/>
      <c r="E14" s="1079"/>
      <c r="F14" s="1079"/>
      <c r="G14" s="1079"/>
      <c r="H14" s="1079"/>
      <c r="I14" s="537"/>
      <c r="J14" s="537"/>
      <c r="K14" s="537"/>
      <c r="L14" s="537"/>
      <c r="M14" s="537"/>
      <c r="N14" s="537"/>
      <c r="O14" s="537"/>
      <c r="P14" s="537"/>
      <c r="Q14" s="537"/>
      <c r="R14" s="537"/>
      <c r="S14" s="537"/>
      <c r="T14" s="537"/>
      <c r="U14" s="537"/>
    </row>
    <row r="15" spans="1:22" ht="15">
      <c r="A15" s="537"/>
      <c r="B15" s="539"/>
      <c r="C15" s="1079" t="str">
        <f>IF('Getting Started'!C184="","",'Getting Started'!C184)</f>
        <v/>
      </c>
      <c r="D15" s="1079"/>
      <c r="E15" s="1079"/>
      <c r="F15" s="1079"/>
      <c r="G15" s="1079"/>
      <c r="H15" s="1079"/>
      <c r="I15" s="537"/>
      <c r="J15" s="537"/>
      <c r="K15" s="537"/>
      <c r="L15" s="537"/>
      <c r="M15" s="537"/>
      <c r="N15" s="537"/>
      <c r="O15" s="537"/>
      <c r="P15" s="537"/>
      <c r="Q15" s="537"/>
      <c r="R15" s="537"/>
      <c r="S15" s="537"/>
      <c r="T15" s="537"/>
      <c r="U15" s="537"/>
    </row>
    <row r="16" spans="1:22" ht="15">
      <c r="A16" s="537"/>
      <c r="B16" s="539"/>
      <c r="C16" s="1079" t="str">
        <f>IF('Getting Started'!C185="","",'Getting Started'!C185)</f>
        <v/>
      </c>
      <c r="D16" s="1079"/>
      <c r="E16" s="1079"/>
      <c r="F16" s="1079"/>
      <c r="G16" s="1079"/>
      <c r="H16" s="1079"/>
      <c r="I16" s="537"/>
      <c r="J16" s="537"/>
      <c r="K16" s="537"/>
      <c r="L16" s="537"/>
      <c r="M16" s="537"/>
      <c r="N16" s="537"/>
      <c r="O16" s="537"/>
      <c r="P16" s="537"/>
      <c r="Q16" s="537"/>
      <c r="R16" s="537"/>
      <c r="S16" s="537"/>
      <c r="T16" s="537"/>
      <c r="U16" s="537"/>
    </row>
    <row r="17" spans="1:21" ht="15">
      <c r="A17" s="537"/>
      <c r="B17" s="537"/>
      <c r="C17" s="1079"/>
      <c r="D17" s="1079"/>
      <c r="E17" s="1079"/>
      <c r="F17" s="1079"/>
      <c r="G17" s="1079"/>
      <c r="H17" s="1079"/>
      <c r="I17" s="537"/>
      <c r="J17" s="537"/>
      <c r="K17" s="537"/>
      <c r="L17" s="537"/>
      <c r="M17" s="537"/>
      <c r="N17" s="537"/>
      <c r="O17" s="537"/>
      <c r="P17" s="537"/>
      <c r="Q17" s="537"/>
      <c r="R17" s="537"/>
      <c r="S17" s="537"/>
      <c r="T17" s="537"/>
      <c r="U17" s="537"/>
    </row>
    <row r="18" spans="1:21" ht="15">
      <c r="A18" s="537"/>
      <c r="B18" s="537"/>
      <c r="C18" s="598"/>
      <c r="D18" s="598"/>
      <c r="E18" s="598"/>
      <c r="F18" s="598"/>
      <c r="G18" s="598"/>
      <c r="H18" s="598"/>
      <c r="I18" s="537"/>
      <c r="J18" s="537"/>
      <c r="K18" s="537"/>
      <c r="L18" s="537"/>
      <c r="M18" s="537"/>
      <c r="N18" s="537"/>
      <c r="O18" s="537"/>
      <c r="P18" s="537"/>
      <c r="Q18" s="537"/>
      <c r="R18" s="537"/>
      <c r="S18" s="537"/>
      <c r="T18" s="537"/>
      <c r="U18" s="537"/>
    </row>
    <row r="19" spans="1:21" ht="15">
      <c r="A19" s="537"/>
      <c r="B19" s="537"/>
      <c r="C19" s="598"/>
      <c r="D19" s="598"/>
      <c r="E19" s="598"/>
      <c r="F19" s="598"/>
      <c r="G19" s="598"/>
      <c r="H19" s="598"/>
      <c r="I19" s="537"/>
      <c r="J19" s="537"/>
      <c r="K19" s="537"/>
      <c r="L19" s="537"/>
      <c r="M19" s="537"/>
      <c r="N19" s="537"/>
      <c r="O19" s="537"/>
      <c r="P19" s="537"/>
      <c r="Q19" s="537"/>
      <c r="R19" s="537"/>
      <c r="S19" s="537"/>
      <c r="T19" s="537"/>
      <c r="U19" s="537"/>
    </row>
    <row r="20" spans="1:21" ht="15">
      <c r="A20" s="537"/>
      <c r="B20" s="537"/>
      <c r="C20" s="537"/>
      <c r="D20" s="537"/>
      <c r="E20" s="537"/>
      <c r="F20" s="537"/>
      <c r="G20" s="537"/>
      <c r="H20" s="537"/>
      <c r="I20" s="537"/>
      <c r="J20" s="537"/>
      <c r="K20" s="537"/>
      <c r="L20" s="537"/>
      <c r="M20" s="537"/>
      <c r="N20" s="537"/>
      <c r="O20" s="537"/>
      <c r="P20" s="537"/>
      <c r="Q20" s="537"/>
      <c r="R20" s="537"/>
      <c r="S20" s="537"/>
      <c r="T20" s="537"/>
      <c r="U20" s="537"/>
    </row>
    <row r="21" spans="1:21" ht="15">
      <c r="A21" s="537"/>
      <c r="B21" s="537"/>
      <c r="C21" s="537"/>
      <c r="D21" s="537"/>
      <c r="E21" s="537"/>
      <c r="F21" s="537"/>
      <c r="G21" s="537"/>
      <c r="H21" s="537"/>
      <c r="I21" s="537"/>
      <c r="J21" s="537"/>
      <c r="K21" s="537"/>
      <c r="L21" s="537"/>
      <c r="M21" s="537"/>
      <c r="N21" s="537"/>
      <c r="O21" s="537"/>
      <c r="P21" s="537"/>
      <c r="Q21" s="537"/>
      <c r="R21" s="537"/>
      <c r="S21" s="537"/>
      <c r="T21" s="537"/>
      <c r="U21" s="537"/>
    </row>
    <row r="22" spans="1:21" ht="15">
      <c r="A22" s="537"/>
      <c r="B22" s="537"/>
      <c r="C22" s="537"/>
      <c r="D22" s="537"/>
      <c r="E22" s="537"/>
      <c r="F22" s="537"/>
      <c r="G22" s="537"/>
      <c r="H22" s="537"/>
      <c r="I22" s="537"/>
      <c r="J22" s="537"/>
      <c r="K22" s="537"/>
      <c r="L22" s="537"/>
      <c r="M22" s="537"/>
      <c r="N22" s="537"/>
      <c r="O22" s="537"/>
      <c r="P22" s="537"/>
      <c r="Q22" s="537"/>
      <c r="R22" s="537"/>
      <c r="S22" s="537"/>
      <c r="T22" s="537"/>
      <c r="U22" s="537"/>
    </row>
    <row r="23" spans="1:21" ht="15">
      <c r="A23" s="537"/>
      <c r="B23" s="537"/>
      <c r="C23" s="537"/>
      <c r="D23" s="537"/>
      <c r="E23" s="537"/>
      <c r="F23" s="537"/>
      <c r="G23" s="537"/>
      <c r="H23" s="537"/>
      <c r="I23" s="537"/>
      <c r="J23" s="537"/>
      <c r="K23" s="537"/>
      <c r="L23" s="537"/>
      <c r="M23" s="537"/>
      <c r="N23" s="537"/>
      <c r="O23" s="537"/>
      <c r="P23" s="537"/>
      <c r="Q23" s="537"/>
      <c r="R23" s="537"/>
      <c r="S23" s="537"/>
      <c r="T23" s="537"/>
      <c r="U23" s="537"/>
    </row>
    <row r="24" spans="1:21" ht="15">
      <c r="A24" s="537"/>
      <c r="B24" s="537"/>
      <c r="C24" s="537"/>
      <c r="D24" s="537"/>
      <c r="E24" s="537"/>
      <c r="F24" s="537"/>
      <c r="G24" s="537"/>
      <c r="H24" s="537"/>
      <c r="I24" s="537"/>
      <c r="J24" s="537"/>
      <c r="K24" s="537"/>
      <c r="L24" s="537"/>
      <c r="M24" s="537"/>
      <c r="N24" s="537"/>
      <c r="O24" s="537"/>
      <c r="P24" s="537"/>
      <c r="Q24" s="537"/>
      <c r="R24" s="537"/>
      <c r="S24" s="537"/>
      <c r="T24" s="537"/>
      <c r="U24" s="537"/>
    </row>
    <row r="25" spans="1:21" ht="15">
      <c r="A25" s="537"/>
      <c r="B25" s="537"/>
      <c r="C25" s="537"/>
      <c r="D25" s="537"/>
      <c r="E25" s="537"/>
      <c r="F25" s="537"/>
      <c r="G25" s="537"/>
      <c r="H25" s="537"/>
      <c r="I25" s="537"/>
      <c r="J25" s="537"/>
      <c r="K25" s="537"/>
      <c r="L25" s="537"/>
      <c r="M25" s="537"/>
      <c r="N25" s="537"/>
      <c r="O25" s="537"/>
      <c r="P25" s="537"/>
      <c r="Q25" s="537"/>
      <c r="R25" s="537"/>
      <c r="S25" s="537"/>
      <c r="T25" s="537"/>
      <c r="U25" s="537"/>
    </row>
    <row r="26" spans="1:21" ht="15">
      <c r="A26" s="537"/>
      <c r="B26" s="537"/>
      <c r="C26" s="537"/>
      <c r="D26" s="537"/>
      <c r="E26" s="537"/>
      <c r="F26" s="537"/>
      <c r="G26" s="537"/>
      <c r="H26" s="537"/>
      <c r="I26" s="537"/>
      <c r="J26" s="537"/>
      <c r="K26" s="537"/>
      <c r="L26" s="537"/>
      <c r="M26" s="537"/>
      <c r="N26" s="537"/>
      <c r="O26" s="537"/>
      <c r="P26" s="537"/>
      <c r="Q26" s="537"/>
      <c r="R26" s="537"/>
      <c r="S26" s="537"/>
      <c r="T26" s="537"/>
      <c r="U26" s="537"/>
    </row>
    <row r="27" spans="1:21" ht="15">
      <c r="A27" s="537"/>
      <c r="B27" s="537"/>
      <c r="C27" s="537"/>
      <c r="D27" s="537"/>
      <c r="E27" s="537"/>
      <c r="F27" s="537"/>
      <c r="G27" s="537"/>
      <c r="H27" s="537"/>
      <c r="I27" s="537"/>
      <c r="J27" s="537"/>
      <c r="K27" s="537"/>
      <c r="L27" s="537"/>
      <c r="M27" s="537"/>
      <c r="N27" s="537"/>
      <c r="O27" s="537"/>
      <c r="P27" s="537"/>
      <c r="Q27" s="537"/>
      <c r="R27" s="537"/>
      <c r="S27" s="537"/>
      <c r="T27" s="537"/>
      <c r="U27" s="537"/>
    </row>
    <row r="28" spans="1:21" ht="15">
      <c r="A28" s="537"/>
      <c r="B28" s="537"/>
      <c r="C28" s="537"/>
      <c r="D28" s="537"/>
      <c r="E28" s="537"/>
      <c r="F28" s="537"/>
      <c r="G28" s="537"/>
      <c r="H28" s="537"/>
      <c r="I28" s="537"/>
      <c r="J28" s="537"/>
      <c r="K28" s="537"/>
      <c r="L28" s="537"/>
      <c r="M28" s="537"/>
      <c r="N28" s="537"/>
      <c r="O28" s="537"/>
      <c r="P28" s="537"/>
      <c r="Q28" s="537"/>
      <c r="R28" s="537"/>
      <c r="S28" s="537"/>
      <c r="T28" s="537"/>
      <c r="U28" s="537"/>
    </row>
    <row r="29" spans="1:21" ht="15">
      <c r="A29" s="537"/>
      <c r="B29" s="537"/>
      <c r="C29" s="537"/>
      <c r="D29" s="537"/>
      <c r="E29" s="537"/>
      <c r="F29" s="537"/>
      <c r="G29" s="537"/>
      <c r="H29" s="537"/>
      <c r="I29" s="537"/>
      <c r="J29" s="537"/>
      <c r="K29" s="537"/>
      <c r="L29" s="537"/>
      <c r="M29" s="537"/>
      <c r="N29" s="537"/>
      <c r="O29" s="537"/>
      <c r="P29" s="537"/>
      <c r="Q29" s="537"/>
      <c r="R29" s="537"/>
      <c r="S29" s="537"/>
      <c r="T29" s="537"/>
      <c r="U29" s="537"/>
    </row>
    <row r="30" spans="1:21" ht="15">
      <c r="A30" s="537"/>
      <c r="B30" s="537"/>
      <c r="C30" s="537"/>
      <c r="D30" s="537"/>
      <c r="E30" s="537"/>
      <c r="F30" s="537"/>
      <c r="G30" s="537"/>
      <c r="H30" s="537"/>
      <c r="I30" s="537"/>
      <c r="J30" s="537"/>
      <c r="K30" s="537"/>
      <c r="L30" s="537"/>
      <c r="M30" s="537"/>
      <c r="N30" s="537"/>
      <c r="O30" s="537"/>
      <c r="P30" s="537"/>
      <c r="Q30" s="537"/>
      <c r="R30" s="537"/>
      <c r="S30" s="537"/>
      <c r="T30" s="537"/>
      <c r="U30" s="537"/>
    </row>
    <row r="31" spans="1:21" ht="15">
      <c r="A31" s="537"/>
      <c r="B31" s="537"/>
      <c r="C31" s="537"/>
      <c r="D31" s="537"/>
      <c r="E31" s="537"/>
      <c r="F31" s="537"/>
      <c r="G31" s="537"/>
      <c r="H31" s="537"/>
      <c r="I31" s="537"/>
      <c r="J31" s="537"/>
      <c r="K31" s="537"/>
      <c r="L31" s="537"/>
      <c r="M31" s="537"/>
      <c r="N31" s="537"/>
      <c r="O31" s="537"/>
      <c r="P31" s="537"/>
      <c r="Q31" s="537"/>
      <c r="R31" s="537"/>
      <c r="S31" s="537"/>
      <c r="T31" s="537"/>
      <c r="U31" s="537"/>
    </row>
    <row r="32" spans="1:21" ht="15">
      <c r="A32" s="537"/>
      <c r="B32" s="537"/>
      <c r="C32" s="537"/>
      <c r="D32" s="537"/>
      <c r="E32" s="537"/>
      <c r="F32" s="537"/>
      <c r="G32" s="537"/>
      <c r="H32" s="537"/>
      <c r="I32" s="537"/>
      <c r="J32" s="537"/>
      <c r="K32" s="537"/>
      <c r="L32" s="537"/>
      <c r="M32" s="537"/>
      <c r="N32" s="537"/>
      <c r="O32" s="537"/>
      <c r="P32" s="537"/>
      <c r="Q32" s="537"/>
      <c r="R32" s="537"/>
      <c r="S32" s="537"/>
      <c r="T32" s="537"/>
      <c r="U32" s="537"/>
    </row>
    <row r="33" spans="1:21" ht="15">
      <c r="A33" s="537"/>
      <c r="B33" s="537"/>
      <c r="C33" s="537"/>
      <c r="D33" s="537"/>
      <c r="E33" s="537"/>
      <c r="F33" s="537"/>
      <c r="G33" s="537"/>
      <c r="H33" s="537"/>
      <c r="I33" s="537"/>
      <c r="J33" s="537"/>
      <c r="K33" s="537"/>
      <c r="L33" s="537"/>
      <c r="M33" s="537"/>
      <c r="N33" s="537"/>
      <c r="O33" s="537"/>
      <c r="P33" s="537"/>
      <c r="Q33" s="537"/>
      <c r="R33" s="537"/>
      <c r="S33" s="537"/>
      <c r="T33" s="537"/>
      <c r="U33" s="537"/>
    </row>
    <row r="34" spans="1:21" ht="15">
      <c r="A34" s="537"/>
      <c r="B34" s="537"/>
      <c r="C34" s="537"/>
      <c r="D34" s="537"/>
      <c r="E34" s="537"/>
      <c r="F34" s="537"/>
      <c r="G34" s="537"/>
      <c r="H34" s="537"/>
      <c r="I34" s="537"/>
      <c r="J34" s="537"/>
      <c r="K34" s="537"/>
      <c r="L34" s="537"/>
      <c r="M34" s="537"/>
      <c r="N34" s="537"/>
      <c r="O34" s="537"/>
      <c r="P34" s="537"/>
      <c r="Q34" s="537"/>
      <c r="R34" s="537"/>
      <c r="S34" s="537"/>
      <c r="T34" s="537"/>
      <c r="U34" s="537"/>
    </row>
    <row r="35" spans="1:21" ht="15">
      <c r="A35" s="537"/>
      <c r="B35" s="537"/>
      <c r="C35" s="537"/>
      <c r="D35" s="537"/>
      <c r="E35" s="537"/>
      <c r="F35" s="537"/>
      <c r="G35" s="537"/>
      <c r="H35" s="537"/>
      <c r="I35" s="537"/>
      <c r="J35" s="537"/>
      <c r="K35" s="537"/>
      <c r="L35" s="537"/>
      <c r="M35" s="537"/>
      <c r="N35" s="537"/>
      <c r="O35" s="537"/>
      <c r="P35" s="537"/>
      <c r="Q35" s="537"/>
      <c r="R35" s="537"/>
      <c r="S35" s="537"/>
      <c r="T35" s="537"/>
      <c r="U35" s="537"/>
    </row>
    <row r="36" spans="1:21" ht="15">
      <c r="A36" s="537"/>
      <c r="B36" s="537"/>
      <c r="C36" s="537"/>
      <c r="D36" s="537"/>
      <c r="E36" s="537"/>
      <c r="F36" s="537"/>
      <c r="G36" s="537"/>
      <c r="H36" s="537"/>
      <c r="I36" s="537"/>
      <c r="J36" s="537"/>
      <c r="K36" s="537"/>
      <c r="L36" s="537"/>
      <c r="M36" s="537"/>
      <c r="N36" s="537"/>
      <c r="O36" s="537"/>
      <c r="P36" s="537"/>
      <c r="Q36" s="537"/>
      <c r="R36" s="537"/>
      <c r="S36" s="537"/>
      <c r="T36" s="537"/>
      <c r="U36" s="537"/>
    </row>
    <row r="37" spans="1:21" ht="15">
      <c r="A37" s="537"/>
      <c r="B37" s="537"/>
      <c r="C37" s="537"/>
      <c r="D37" s="537"/>
      <c r="E37" s="537"/>
      <c r="F37" s="537"/>
      <c r="G37" s="537"/>
      <c r="H37" s="537"/>
      <c r="I37" s="537"/>
      <c r="J37" s="537"/>
      <c r="K37" s="537"/>
      <c r="L37" s="537"/>
      <c r="M37" s="537"/>
      <c r="N37" s="537"/>
      <c r="O37" s="537"/>
      <c r="P37" s="537"/>
      <c r="Q37" s="537"/>
      <c r="R37" s="537"/>
      <c r="S37" s="537"/>
      <c r="T37" s="537"/>
      <c r="U37" s="537"/>
    </row>
    <row r="38" spans="1:21" ht="15">
      <c r="A38" s="537"/>
      <c r="B38" s="537"/>
      <c r="C38" s="537"/>
      <c r="D38" s="537"/>
      <c r="E38" s="537"/>
      <c r="F38" s="537"/>
      <c r="G38" s="537"/>
      <c r="H38" s="537"/>
      <c r="I38" s="537"/>
      <c r="J38" s="537"/>
      <c r="K38" s="537"/>
      <c r="L38" s="537"/>
      <c r="M38" s="537"/>
      <c r="N38" s="537"/>
      <c r="O38" s="537"/>
      <c r="P38" s="537"/>
      <c r="Q38" s="537"/>
      <c r="R38" s="537"/>
      <c r="S38" s="537"/>
      <c r="T38" s="537"/>
      <c r="U38" s="537"/>
    </row>
    <row r="39" spans="1:21" ht="15">
      <c r="A39" s="537"/>
      <c r="B39" s="537"/>
      <c r="C39" s="537"/>
      <c r="D39" s="537"/>
      <c r="E39" s="537"/>
      <c r="F39" s="537"/>
      <c r="G39" s="537"/>
      <c r="H39" s="537"/>
      <c r="I39" s="537"/>
      <c r="J39" s="537"/>
      <c r="K39" s="537"/>
      <c r="L39" s="537"/>
      <c r="M39" s="537"/>
      <c r="N39" s="537"/>
      <c r="O39" s="537"/>
      <c r="P39" s="537"/>
      <c r="Q39" s="537"/>
      <c r="R39" s="537"/>
      <c r="S39" s="537"/>
      <c r="T39" s="537"/>
      <c r="U39" s="537"/>
    </row>
    <row r="40" spans="1:21" ht="15">
      <c r="A40" s="537"/>
      <c r="B40" s="537"/>
      <c r="C40" s="537"/>
      <c r="D40" s="537"/>
      <c r="E40" s="537"/>
      <c r="F40" s="537"/>
      <c r="G40" s="537"/>
      <c r="H40" s="537"/>
      <c r="I40" s="537"/>
      <c r="J40" s="537"/>
      <c r="K40" s="537"/>
      <c r="L40" s="537"/>
      <c r="M40" s="537"/>
      <c r="N40" s="537"/>
      <c r="O40" s="537"/>
      <c r="P40" s="537"/>
      <c r="Q40" s="537"/>
      <c r="R40" s="537"/>
      <c r="S40" s="537"/>
      <c r="T40" s="537"/>
      <c r="U40" s="537"/>
    </row>
    <row r="41" spans="1:21" ht="15">
      <c r="A41" s="537"/>
      <c r="B41" s="537"/>
      <c r="C41" s="537"/>
      <c r="D41" s="537"/>
      <c r="E41" s="537"/>
      <c r="F41" s="537"/>
      <c r="G41" s="537"/>
      <c r="H41" s="537"/>
      <c r="I41" s="537"/>
      <c r="J41" s="537"/>
      <c r="K41" s="537"/>
      <c r="L41" s="537"/>
      <c r="M41" s="537"/>
      <c r="N41" s="537"/>
      <c r="O41" s="537"/>
      <c r="P41" s="537"/>
      <c r="Q41" s="537"/>
      <c r="R41" s="537"/>
      <c r="S41" s="537"/>
      <c r="T41" s="537"/>
      <c r="U41" s="537"/>
    </row>
    <row r="42" spans="1:21" ht="15">
      <c r="A42" s="537"/>
      <c r="B42" s="537"/>
      <c r="C42" s="537"/>
      <c r="D42" s="537"/>
      <c r="E42" s="537"/>
      <c r="F42" s="537"/>
      <c r="G42" s="537"/>
      <c r="H42" s="537"/>
      <c r="I42" s="537"/>
      <c r="J42" s="537"/>
      <c r="K42" s="537"/>
      <c r="L42" s="537"/>
      <c r="M42" s="537"/>
      <c r="N42" s="537"/>
      <c r="O42" s="537"/>
      <c r="P42" s="537"/>
      <c r="Q42" s="537"/>
      <c r="R42" s="537"/>
      <c r="S42" s="537"/>
      <c r="T42" s="537"/>
      <c r="U42" s="537"/>
    </row>
    <row r="43" spans="1:21" ht="15">
      <c r="A43" s="537"/>
      <c r="B43" s="537"/>
      <c r="C43" s="537"/>
      <c r="D43" s="537"/>
      <c r="E43" s="537"/>
      <c r="F43" s="537"/>
      <c r="G43" s="537"/>
      <c r="H43" s="537"/>
      <c r="I43" s="537"/>
      <c r="J43" s="537"/>
      <c r="K43" s="537"/>
      <c r="L43" s="537"/>
      <c r="M43" s="537"/>
      <c r="N43" s="537"/>
      <c r="O43" s="537"/>
      <c r="P43" s="537"/>
      <c r="Q43" s="537"/>
      <c r="R43" s="537"/>
      <c r="S43" s="537"/>
      <c r="T43" s="537"/>
      <c r="U43" s="537"/>
    </row>
    <row r="44" spans="1:21" ht="15">
      <c r="A44" s="537"/>
      <c r="B44" s="537"/>
      <c r="C44" s="537"/>
      <c r="D44" s="537"/>
      <c r="E44" s="537"/>
      <c r="F44" s="537"/>
      <c r="G44" s="537"/>
      <c r="H44" s="537"/>
      <c r="I44" s="537"/>
      <c r="J44" s="537"/>
      <c r="K44" s="537"/>
      <c r="L44" s="537"/>
      <c r="M44" s="537"/>
      <c r="N44" s="537"/>
      <c r="O44" s="537"/>
      <c r="P44" s="537"/>
      <c r="Q44" s="537"/>
      <c r="R44" s="537"/>
      <c r="S44" s="537"/>
      <c r="T44" s="537"/>
      <c r="U44" s="537"/>
    </row>
    <row r="45" spans="1:21" ht="15">
      <c r="A45" s="537"/>
      <c r="B45" s="537"/>
      <c r="C45" s="537"/>
      <c r="D45" s="537"/>
      <c r="E45" s="537"/>
      <c r="F45" s="537"/>
      <c r="G45" s="537"/>
      <c r="H45" s="537"/>
      <c r="I45" s="537"/>
      <c r="J45" s="537"/>
      <c r="K45" s="537"/>
      <c r="L45" s="537"/>
      <c r="M45" s="537"/>
      <c r="N45" s="537"/>
      <c r="O45" s="537"/>
      <c r="P45" s="537"/>
      <c r="Q45" s="537"/>
      <c r="R45" s="537"/>
      <c r="S45" s="537"/>
      <c r="T45" s="537"/>
      <c r="U45" s="537"/>
    </row>
    <row r="46" spans="1:21" ht="15">
      <c r="A46" s="537"/>
      <c r="B46" s="537"/>
      <c r="C46" s="537"/>
      <c r="D46" s="537"/>
      <c r="E46" s="537"/>
      <c r="F46" s="537"/>
      <c r="G46" s="537"/>
      <c r="H46" s="537"/>
      <c r="I46" s="537"/>
      <c r="J46" s="537"/>
      <c r="K46" s="537"/>
      <c r="L46" s="537"/>
      <c r="M46" s="537"/>
      <c r="N46" s="537"/>
      <c r="O46" s="537"/>
      <c r="P46" s="537"/>
      <c r="Q46" s="537"/>
      <c r="R46" s="537"/>
      <c r="S46" s="537"/>
      <c r="T46" s="537"/>
      <c r="U46" s="537"/>
    </row>
    <row r="47" spans="1:21" ht="15">
      <c r="A47" s="537"/>
      <c r="B47" s="537"/>
      <c r="C47" s="537"/>
      <c r="D47" s="537"/>
      <c r="E47" s="537"/>
      <c r="F47" s="537"/>
      <c r="G47" s="537"/>
      <c r="H47" s="537"/>
      <c r="I47" s="537"/>
      <c r="J47" s="537"/>
      <c r="K47" s="537"/>
      <c r="L47" s="537"/>
      <c r="M47" s="537"/>
      <c r="N47" s="537"/>
      <c r="O47" s="537"/>
      <c r="P47" s="537"/>
      <c r="Q47" s="537"/>
      <c r="R47" s="537"/>
      <c r="S47" s="537"/>
      <c r="T47" s="537"/>
      <c r="U47" s="537"/>
    </row>
    <row r="48" spans="1:21" ht="15">
      <c r="A48" s="537"/>
      <c r="B48" s="537"/>
      <c r="C48" s="537"/>
      <c r="D48" s="537"/>
      <c r="E48" s="537"/>
      <c r="F48" s="537"/>
      <c r="G48" s="537"/>
      <c r="H48" s="537"/>
      <c r="I48" s="537"/>
      <c r="J48" s="537"/>
      <c r="K48" s="537"/>
      <c r="L48" s="537"/>
      <c r="M48" s="537"/>
      <c r="N48" s="537"/>
      <c r="O48" s="537"/>
      <c r="P48" s="537"/>
      <c r="Q48" s="537"/>
      <c r="R48" s="537"/>
      <c r="S48" s="537"/>
      <c r="T48" s="537"/>
      <c r="U48" s="537"/>
    </row>
    <row r="49" spans="1:21" ht="15">
      <c r="A49" s="537"/>
      <c r="B49" s="537"/>
      <c r="C49" s="537"/>
      <c r="D49" s="537"/>
      <c r="E49" s="537"/>
      <c r="F49" s="537"/>
      <c r="G49" s="537"/>
      <c r="H49" s="537"/>
      <c r="I49" s="537"/>
      <c r="J49" s="537"/>
      <c r="K49" s="537"/>
      <c r="L49" s="537"/>
      <c r="M49" s="537"/>
      <c r="N49" s="537"/>
      <c r="O49" s="537"/>
      <c r="P49" s="537"/>
      <c r="Q49" s="537"/>
      <c r="R49" s="537"/>
      <c r="S49" s="537"/>
      <c r="T49" s="537"/>
      <c r="U49" s="537"/>
    </row>
    <row r="50" spans="1:21" ht="15">
      <c r="A50" s="537"/>
      <c r="B50" s="537"/>
      <c r="C50" s="537"/>
      <c r="D50" s="537"/>
      <c r="E50" s="537"/>
      <c r="F50" s="537"/>
      <c r="G50" s="537"/>
      <c r="H50" s="537"/>
      <c r="I50" s="537"/>
      <c r="J50" s="537"/>
      <c r="K50" s="537"/>
      <c r="L50" s="537"/>
      <c r="M50" s="537"/>
      <c r="N50" s="537"/>
      <c r="O50" s="537"/>
      <c r="P50" s="537"/>
      <c r="Q50" s="537"/>
      <c r="R50" s="537"/>
      <c r="S50" s="537"/>
      <c r="T50" s="537"/>
      <c r="U50" s="537"/>
    </row>
    <row r="51" spans="1:21" ht="15">
      <c r="A51" s="537"/>
      <c r="B51" s="537"/>
      <c r="C51" s="537"/>
      <c r="D51" s="537"/>
      <c r="E51" s="537"/>
      <c r="F51" s="537"/>
      <c r="G51" s="537"/>
      <c r="H51" s="537"/>
      <c r="I51" s="537"/>
      <c r="J51" s="537"/>
      <c r="K51" s="537"/>
      <c r="L51" s="537"/>
      <c r="M51" s="537"/>
      <c r="N51" s="537"/>
      <c r="O51" s="537"/>
      <c r="P51" s="537"/>
      <c r="Q51" s="537"/>
      <c r="R51" s="537"/>
      <c r="S51" s="537"/>
      <c r="T51" s="537"/>
      <c r="U51" s="537"/>
    </row>
    <row r="52" spans="1:21" ht="15">
      <c r="A52" s="537"/>
      <c r="B52" s="537"/>
      <c r="C52" s="537"/>
      <c r="D52" s="537"/>
      <c r="E52" s="537"/>
      <c r="F52" s="537"/>
      <c r="G52" s="537"/>
      <c r="H52" s="537"/>
      <c r="I52" s="537"/>
      <c r="J52" s="537"/>
      <c r="K52" s="537"/>
      <c r="L52" s="537"/>
      <c r="M52" s="537"/>
      <c r="N52" s="537"/>
      <c r="O52" s="537"/>
      <c r="P52" s="537"/>
      <c r="Q52" s="537"/>
      <c r="R52" s="537"/>
      <c r="S52" s="537"/>
      <c r="T52" s="537"/>
      <c r="U52" s="537"/>
    </row>
    <row r="53" spans="1:21" ht="15">
      <c r="A53" s="537"/>
      <c r="B53" s="537"/>
      <c r="C53" s="537"/>
      <c r="D53" s="537"/>
      <c r="E53" s="537"/>
      <c r="F53" s="537"/>
      <c r="G53" s="537"/>
      <c r="H53" s="537"/>
      <c r="I53" s="537"/>
      <c r="J53" s="537"/>
      <c r="K53" s="537"/>
      <c r="L53" s="537"/>
      <c r="M53" s="537"/>
      <c r="N53" s="537"/>
      <c r="O53" s="537"/>
      <c r="P53" s="537"/>
      <c r="Q53" s="537"/>
      <c r="R53" s="537"/>
      <c r="S53" s="537"/>
      <c r="T53" s="537"/>
      <c r="U53" s="537"/>
    </row>
    <row r="54" spans="1:21" ht="15">
      <c r="A54" s="537"/>
      <c r="B54" s="537"/>
      <c r="C54" s="537"/>
      <c r="D54" s="537"/>
      <c r="E54" s="537"/>
      <c r="F54" s="537"/>
      <c r="G54" s="537"/>
      <c r="H54" s="537"/>
      <c r="I54" s="537"/>
      <c r="J54" s="537"/>
      <c r="K54" s="537"/>
      <c r="L54" s="537"/>
      <c r="M54" s="537"/>
      <c r="N54" s="537"/>
      <c r="O54" s="537"/>
      <c r="P54" s="537"/>
      <c r="Q54" s="537"/>
      <c r="R54" s="537"/>
      <c r="S54" s="537"/>
      <c r="T54" s="537"/>
      <c r="U54" s="537"/>
    </row>
    <row r="55" spans="1:21" ht="15">
      <c r="A55" s="537"/>
      <c r="B55" s="537"/>
      <c r="C55" s="537"/>
      <c r="D55" s="537"/>
      <c r="E55" s="537"/>
      <c r="F55" s="537"/>
      <c r="G55" s="537"/>
      <c r="H55" s="537"/>
      <c r="I55" s="537"/>
      <c r="J55" s="537"/>
      <c r="K55" s="537"/>
      <c r="L55" s="537"/>
      <c r="M55" s="537"/>
      <c r="N55" s="537"/>
      <c r="O55" s="537"/>
      <c r="P55" s="537"/>
      <c r="Q55" s="537"/>
      <c r="R55" s="537"/>
      <c r="S55" s="537"/>
      <c r="T55" s="537"/>
      <c r="U55" s="537"/>
    </row>
    <row r="56" spans="1:21" ht="15">
      <c r="A56" s="537"/>
      <c r="B56" s="537"/>
      <c r="C56" s="537"/>
      <c r="D56" s="537"/>
      <c r="E56" s="537"/>
      <c r="F56" s="537"/>
      <c r="G56" s="537"/>
      <c r="H56" s="537"/>
      <c r="I56" s="537"/>
      <c r="J56" s="537"/>
      <c r="K56" s="537"/>
      <c r="L56" s="537"/>
      <c r="M56" s="537"/>
      <c r="N56" s="537"/>
      <c r="O56" s="537"/>
      <c r="P56" s="537"/>
      <c r="Q56" s="537"/>
      <c r="R56" s="537"/>
      <c r="S56" s="537"/>
      <c r="T56" s="537"/>
      <c r="U56" s="537"/>
    </row>
    <row r="57" spans="1:21" ht="15">
      <c r="A57" s="537"/>
      <c r="B57" s="537"/>
      <c r="C57" s="537"/>
      <c r="D57" s="537"/>
      <c r="E57" s="537"/>
      <c r="F57" s="537"/>
      <c r="G57" s="537"/>
      <c r="H57" s="537"/>
      <c r="I57" s="537"/>
      <c r="J57" s="537"/>
      <c r="K57" s="537"/>
      <c r="L57" s="537"/>
      <c r="M57" s="537"/>
      <c r="N57" s="537"/>
      <c r="O57" s="537"/>
      <c r="P57" s="537"/>
      <c r="Q57" s="537"/>
      <c r="R57" s="537"/>
      <c r="S57" s="537"/>
      <c r="T57" s="537"/>
      <c r="U57" s="537"/>
    </row>
    <row r="58" spans="1:21" ht="15">
      <c r="A58" s="537"/>
      <c r="B58" s="537"/>
      <c r="C58" s="537"/>
      <c r="D58" s="537"/>
      <c r="E58" s="537"/>
      <c r="F58" s="537"/>
      <c r="G58" s="537"/>
      <c r="H58" s="537"/>
      <c r="I58" s="537"/>
      <c r="J58" s="537"/>
      <c r="K58" s="537"/>
      <c r="L58" s="537"/>
      <c r="M58" s="537"/>
      <c r="N58" s="537"/>
      <c r="O58" s="537"/>
      <c r="P58" s="537"/>
      <c r="Q58" s="537"/>
      <c r="R58" s="537"/>
      <c r="S58" s="537"/>
      <c r="T58" s="537"/>
      <c r="U58" s="537"/>
    </row>
    <row r="59" spans="1:21" ht="15">
      <c r="A59" s="537"/>
      <c r="B59" s="537"/>
      <c r="C59" s="537"/>
      <c r="D59" s="537"/>
      <c r="E59" s="537"/>
      <c r="F59" s="537"/>
      <c r="G59" s="537"/>
      <c r="H59" s="537"/>
      <c r="I59" s="537"/>
      <c r="J59" s="537"/>
      <c r="K59" s="537"/>
      <c r="L59" s="537"/>
      <c r="M59" s="537"/>
      <c r="N59" s="537"/>
      <c r="O59" s="537"/>
      <c r="P59" s="537"/>
      <c r="Q59" s="537"/>
      <c r="R59" s="537"/>
      <c r="S59" s="537"/>
      <c r="T59" s="537"/>
      <c r="U59" s="537"/>
    </row>
    <row r="60" spans="1:21" ht="15">
      <c r="A60" s="537"/>
      <c r="B60" s="537"/>
      <c r="C60" s="537"/>
      <c r="D60" s="537"/>
      <c r="E60" s="537"/>
      <c r="F60" s="537"/>
      <c r="G60" s="537"/>
      <c r="H60" s="537"/>
      <c r="I60" s="537"/>
      <c r="J60" s="537"/>
      <c r="K60" s="537"/>
      <c r="L60" s="537"/>
      <c r="M60" s="537"/>
      <c r="N60" s="537"/>
      <c r="O60" s="537"/>
      <c r="P60" s="537"/>
      <c r="Q60" s="537"/>
      <c r="R60" s="537"/>
      <c r="S60" s="537"/>
      <c r="T60" s="537"/>
      <c r="U60" s="537"/>
    </row>
    <row r="61" spans="1:21" ht="15">
      <c r="A61" s="537"/>
      <c r="B61" s="537"/>
      <c r="C61" s="537"/>
      <c r="D61" s="537"/>
      <c r="E61" s="537"/>
      <c r="F61" s="537"/>
      <c r="G61" s="537"/>
      <c r="H61" s="537"/>
      <c r="I61" s="537"/>
      <c r="J61" s="537"/>
      <c r="K61" s="537"/>
      <c r="L61" s="537"/>
      <c r="M61" s="537"/>
      <c r="N61" s="537"/>
      <c r="O61" s="537"/>
      <c r="P61" s="537"/>
      <c r="Q61" s="537"/>
      <c r="R61" s="537"/>
      <c r="S61" s="537"/>
      <c r="T61" s="537"/>
      <c r="U61" s="537"/>
    </row>
    <row r="62" spans="1:21" ht="15">
      <c r="A62" s="537"/>
      <c r="B62" s="537"/>
      <c r="C62" s="537"/>
      <c r="D62" s="537"/>
      <c r="E62" s="537"/>
      <c r="F62" s="537"/>
      <c r="G62" s="537"/>
      <c r="H62" s="537"/>
      <c r="I62" s="537"/>
      <c r="J62" s="537"/>
      <c r="K62" s="537"/>
      <c r="L62" s="537"/>
      <c r="M62" s="537"/>
      <c r="N62" s="537"/>
      <c r="O62" s="537"/>
      <c r="P62" s="537"/>
      <c r="Q62" s="537"/>
      <c r="R62" s="537"/>
      <c r="S62" s="537"/>
      <c r="T62" s="537"/>
      <c r="U62" s="537"/>
    </row>
    <row r="63" spans="1:21" ht="15">
      <c r="A63" s="537"/>
      <c r="B63" s="537"/>
      <c r="C63" s="537"/>
      <c r="D63" s="537"/>
      <c r="E63" s="537"/>
      <c r="F63" s="537"/>
      <c r="G63" s="537"/>
      <c r="H63" s="537"/>
      <c r="I63" s="537"/>
      <c r="J63" s="537"/>
      <c r="K63" s="537"/>
      <c r="L63" s="537"/>
      <c r="M63" s="537"/>
      <c r="N63" s="537"/>
      <c r="O63" s="537"/>
      <c r="P63" s="537"/>
      <c r="Q63" s="537"/>
      <c r="R63" s="537"/>
      <c r="S63" s="537"/>
      <c r="T63" s="537"/>
      <c r="U63" s="537"/>
    </row>
    <row r="64" spans="1:21" ht="15">
      <c r="A64" s="537"/>
      <c r="B64" s="537"/>
      <c r="C64" s="537"/>
      <c r="D64" s="537"/>
      <c r="E64" s="537"/>
      <c r="F64" s="537"/>
      <c r="G64" s="537"/>
      <c r="H64" s="537"/>
      <c r="I64" s="537"/>
      <c r="J64" s="537"/>
      <c r="K64" s="537"/>
      <c r="L64" s="537"/>
      <c r="M64" s="537"/>
      <c r="N64" s="537"/>
      <c r="O64" s="537"/>
      <c r="P64" s="537"/>
      <c r="Q64" s="537"/>
      <c r="R64" s="537"/>
      <c r="S64" s="537"/>
      <c r="T64" s="537"/>
      <c r="U64" s="537"/>
    </row>
    <row r="65" spans="1:21" ht="15">
      <c r="A65" s="537"/>
      <c r="B65" s="537"/>
      <c r="C65" s="537"/>
      <c r="D65" s="537"/>
      <c r="E65" s="537"/>
      <c r="F65" s="537"/>
      <c r="G65" s="537"/>
      <c r="H65" s="537"/>
      <c r="I65" s="537"/>
      <c r="J65" s="537"/>
      <c r="K65" s="537"/>
      <c r="L65" s="537"/>
      <c r="M65" s="537"/>
      <c r="N65" s="537"/>
      <c r="O65" s="537"/>
      <c r="P65" s="537"/>
      <c r="Q65" s="537"/>
      <c r="R65" s="537"/>
      <c r="S65" s="537"/>
      <c r="T65" s="537"/>
      <c r="U65" s="537"/>
    </row>
    <row r="66" spans="1:21" ht="15">
      <c r="A66" s="537"/>
      <c r="B66" s="537"/>
      <c r="C66" s="537"/>
      <c r="D66" s="537"/>
      <c r="E66" s="537"/>
      <c r="F66" s="537"/>
      <c r="G66" s="537"/>
      <c r="H66" s="537"/>
      <c r="I66" s="537"/>
      <c r="J66" s="537"/>
      <c r="K66" s="537"/>
      <c r="L66" s="537"/>
      <c r="M66" s="537"/>
      <c r="N66" s="537"/>
      <c r="O66" s="537"/>
      <c r="P66" s="537"/>
      <c r="Q66" s="537"/>
      <c r="R66" s="537"/>
      <c r="S66" s="537"/>
      <c r="T66" s="537"/>
      <c r="U66" s="537"/>
    </row>
    <row r="67" spans="1:21" ht="15">
      <c r="A67" s="537"/>
      <c r="B67" s="537"/>
      <c r="C67" s="537"/>
      <c r="D67" s="537"/>
      <c r="E67" s="537"/>
      <c r="F67" s="537"/>
      <c r="G67" s="537"/>
      <c r="H67" s="537"/>
      <c r="I67" s="537"/>
      <c r="J67" s="537"/>
      <c r="K67" s="537"/>
      <c r="L67" s="537"/>
      <c r="M67" s="537"/>
      <c r="N67" s="537"/>
      <c r="O67" s="537"/>
      <c r="P67" s="537"/>
      <c r="Q67" s="537"/>
      <c r="R67" s="537"/>
      <c r="S67" s="537"/>
      <c r="T67" s="537"/>
      <c r="U67" s="537"/>
    </row>
    <row r="68" spans="1:21" ht="15">
      <c r="A68" s="537"/>
      <c r="B68" s="537"/>
      <c r="C68" s="537"/>
      <c r="D68" s="537"/>
      <c r="E68" s="537"/>
      <c r="F68" s="537"/>
      <c r="G68" s="537"/>
      <c r="H68" s="537"/>
      <c r="I68" s="537"/>
      <c r="J68" s="537"/>
      <c r="K68" s="537"/>
      <c r="L68" s="537"/>
      <c r="M68" s="537"/>
      <c r="N68" s="537"/>
      <c r="O68" s="537"/>
      <c r="P68" s="537"/>
      <c r="Q68" s="537"/>
      <c r="R68" s="537"/>
      <c r="S68" s="537"/>
      <c r="T68" s="537"/>
      <c r="U68" s="537"/>
    </row>
    <row r="69" spans="1:21" ht="15">
      <c r="A69" s="537"/>
      <c r="B69" s="537"/>
      <c r="C69" s="537"/>
      <c r="D69" s="537"/>
      <c r="E69" s="537"/>
      <c r="F69" s="537"/>
      <c r="G69" s="537"/>
      <c r="H69" s="537"/>
      <c r="I69" s="537"/>
      <c r="J69" s="537"/>
      <c r="K69" s="537"/>
      <c r="L69" s="537"/>
      <c r="M69" s="537"/>
      <c r="N69" s="537"/>
      <c r="O69" s="537"/>
      <c r="P69" s="537"/>
      <c r="Q69" s="537"/>
      <c r="R69" s="537"/>
      <c r="S69" s="537"/>
      <c r="T69" s="537"/>
      <c r="U69" s="537"/>
    </row>
    <row r="70" spans="1:21" ht="15">
      <c r="A70" s="537"/>
      <c r="B70" s="537"/>
      <c r="C70" s="537"/>
      <c r="D70" s="537"/>
      <c r="E70" s="537"/>
      <c r="F70" s="537"/>
      <c r="G70" s="537"/>
      <c r="H70" s="537"/>
      <c r="I70" s="537"/>
      <c r="J70" s="537"/>
      <c r="K70" s="537"/>
      <c r="L70" s="537"/>
      <c r="M70" s="537"/>
      <c r="N70" s="537"/>
      <c r="O70" s="537"/>
      <c r="P70" s="537"/>
      <c r="Q70" s="537"/>
      <c r="R70" s="537"/>
      <c r="S70" s="537"/>
      <c r="T70" s="537"/>
      <c r="U70" s="537"/>
    </row>
    <row r="71" spans="1:21" ht="15">
      <c r="A71" s="537"/>
      <c r="B71" s="537"/>
      <c r="C71" s="537"/>
      <c r="D71" s="537"/>
      <c r="E71" s="537"/>
      <c r="F71" s="537"/>
      <c r="G71" s="537"/>
      <c r="H71" s="537"/>
      <c r="I71" s="537"/>
      <c r="J71" s="537"/>
      <c r="K71" s="537"/>
      <c r="L71" s="537"/>
      <c r="M71" s="537"/>
      <c r="N71" s="537"/>
      <c r="O71" s="537"/>
      <c r="P71" s="537"/>
      <c r="Q71" s="537"/>
      <c r="R71" s="537"/>
      <c r="S71" s="537"/>
      <c r="T71" s="537"/>
      <c r="U71" s="537"/>
    </row>
    <row r="72" spans="1:21" ht="15">
      <c r="A72" s="537"/>
      <c r="B72" s="537"/>
      <c r="C72" s="537"/>
      <c r="D72" s="537"/>
      <c r="E72" s="537"/>
      <c r="F72" s="537"/>
      <c r="G72" s="537"/>
      <c r="H72" s="537"/>
      <c r="I72" s="537"/>
      <c r="J72" s="537"/>
      <c r="K72" s="537"/>
      <c r="L72" s="537"/>
      <c r="M72" s="537"/>
      <c r="N72" s="537"/>
      <c r="O72" s="537"/>
      <c r="P72" s="537"/>
      <c r="Q72" s="537"/>
      <c r="R72" s="537"/>
      <c r="S72" s="537"/>
      <c r="T72" s="537"/>
      <c r="U72" s="537"/>
    </row>
    <row r="73" spans="1:21" ht="15">
      <c r="A73" s="537"/>
      <c r="B73" s="537"/>
      <c r="C73" s="537"/>
      <c r="D73" s="537"/>
      <c r="E73" s="537"/>
      <c r="F73" s="537"/>
      <c r="G73" s="537"/>
      <c r="H73" s="537"/>
      <c r="I73" s="537"/>
      <c r="J73" s="537"/>
      <c r="K73" s="537"/>
      <c r="L73" s="537"/>
      <c r="M73" s="537"/>
      <c r="N73" s="537"/>
      <c r="O73" s="537"/>
      <c r="P73" s="537"/>
      <c r="Q73" s="537"/>
      <c r="R73" s="537"/>
      <c r="S73" s="537"/>
      <c r="T73" s="537"/>
      <c r="U73" s="537"/>
    </row>
    <row r="74" spans="1:21" ht="15">
      <c r="A74" s="537"/>
      <c r="B74" s="537"/>
      <c r="C74" s="537"/>
      <c r="D74" s="537"/>
      <c r="E74" s="537"/>
      <c r="F74" s="537"/>
      <c r="G74" s="537"/>
      <c r="H74" s="537"/>
      <c r="I74" s="537"/>
      <c r="J74" s="537"/>
      <c r="K74" s="537"/>
      <c r="L74" s="537"/>
      <c r="M74" s="537"/>
      <c r="N74" s="537"/>
      <c r="O74" s="537"/>
      <c r="P74" s="537"/>
      <c r="Q74" s="537"/>
      <c r="R74" s="537"/>
      <c r="S74" s="537"/>
      <c r="T74" s="537"/>
      <c r="U74" s="537"/>
    </row>
    <row r="75" spans="1:21" ht="15">
      <c r="A75" s="537"/>
      <c r="B75" s="537"/>
      <c r="C75" s="537"/>
      <c r="D75" s="537"/>
      <c r="E75" s="537"/>
      <c r="F75" s="537"/>
      <c r="G75" s="537"/>
      <c r="H75" s="537"/>
      <c r="I75" s="537"/>
      <c r="J75" s="537"/>
      <c r="K75" s="537"/>
      <c r="L75" s="537"/>
      <c r="M75" s="537"/>
      <c r="N75" s="537"/>
      <c r="O75" s="537"/>
      <c r="P75" s="537"/>
      <c r="Q75" s="537"/>
      <c r="R75" s="537"/>
      <c r="S75" s="537"/>
      <c r="T75" s="537"/>
      <c r="U75" s="537"/>
    </row>
    <row r="76" spans="1:21" ht="15">
      <c r="A76" s="537"/>
      <c r="B76" s="537"/>
      <c r="C76" s="537"/>
      <c r="D76" s="537"/>
      <c r="E76" s="537"/>
      <c r="F76" s="537"/>
      <c r="G76" s="537"/>
      <c r="H76" s="537"/>
      <c r="I76" s="537"/>
      <c r="J76" s="537"/>
      <c r="K76" s="537"/>
      <c r="L76" s="537"/>
      <c r="M76" s="537"/>
      <c r="N76" s="537"/>
      <c r="O76" s="537"/>
      <c r="P76" s="537"/>
      <c r="Q76" s="537"/>
      <c r="R76" s="537"/>
      <c r="S76" s="537"/>
      <c r="T76" s="537"/>
      <c r="U76" s="537"/>
    </row>
    <row r="77" spans="1:21" ht="15">
      <c r="A77" s="537"/>
      <c r="B77" s="537"/>
      <c r="C77" s="537"/>
      <c r="D77" s="537"/>
      <c r="E77" s="537"/>
      <c r="F77" s="537"/>
      <c r="G77" s="537"/>
      <c r="H77" s="537"/>
      <c r="I77" s="537"/>
      <c r="J77" s="537"/>
      <c r="K77" s="537"/>
      <c r="L77" s="537"/>
      <c r="M77" s="537"/>
      <c r="N77" s="537"/>
      <c r="O77" s="537"/>
      <c r="P77" s="537"/>
      <c r="Q77" s="537"/>
      <c r="R77" s="537"/>
      <c r="S77" s="537"/>
      <c r="T77" s="537"/>
      <c r="U77" s="537"/>
    </row>
    <row r="78" spans="1:21" ht="15">
      <c r="A78" s="537"/>
      <c r="B78" s="537"/>
      <c r="C78" s="537"/>
      <c r="D78" s="537"/>
      <c r="E78" s="537"/>
      <c r="F78" s="537"/>
      <c r="G78" s="537"/>
      <c r="H78" s="537"/>
      <c r="I78" s="537"/>
      <c r="J78" s="537"/>
      <c r="K78" s="537"/>
      <c r="L78" s="537"/>
      <c r="M78" s="537"/>
      <c r="N78" s="537"/>
      <c r="O78" s="537"/>
      <c r="P78" s="537"/>
      <c r="Q78" s="537"/>
      <c r="R78" s="537"/>
      <c r="S78" s="537"/>
      <c r="T78" s="537"/>
      <c r="U78" s="537"/>
    </row>
    <row r="79" spans="1:21" ht="15">
      <c r="A79" s="537"/>
      <c r="B79" s="537"/>
      <c r="C79" s="537"/>
      <c r="D79" s="537"/>
      <c r="E79" s="537"/>
      <c r="F79" s="537"/>
      <c r="G79" s="537"/>
      <c r="H79" s="537"/>
      <c r="I79" s="537"/>
      <c r="J79" s="537"/>
      <c r="K79" s="537"/>
      <c r="L79" s="537"/>
      <c r="M79" s="537"/>
      <c r="N79" s="537"/>
      <c r="O79" s="537"/>
      <c r="P79" s="537"/>
      <c r="Q79" s="537"/>
      <c r="R79" s="537"/>
      <c r="S79" s="537"/>
      <c r="T79" s="537"/>
      <c r="U79" s="537"/>
    </row>
    <row r="80" spans="1:21" ht="15">
      <c r="A80" s="537"/>
      <c r="B80" s="537"/>
      <c r="C80" s="537"/>
      <c r="D80" s="537"/>
      <c r="E80" s="537"/>
      <c r="F80" s="537"/>
      <c r="G80" s="537"/>
      <c r="H80" s="537"/>
      <c r="I80" s="537"/>
      <c r="J80" s="537"/>
      <c r="K80" s="537"/>
      <c r="L80" s="537"/>
      <c r="M80" s="537"/>
      <c r="N80" s="537"/>
      <c r="O80" s="537"/>
      <c r="P80" s="537"/>
      <c r="Q80" s="537"/>
      <c r="R80" s="537"/>
      <c r="S80" s="537"/>
      <c r="T80" s="537"/>
      <c r="U80" s="537"/>
    </row>
    <row r="81" spans="1:21" ht="15">
      <c r="A81" s="537"/>
      <c r="B81" s="537"/>
      <c r="C81" s="537"/>
      <c r="D81" s="537"/>
      <c r="E81" s="537"/>
      <c r="F81" s="537"/>
      <c r="G81" s="537"/>
      <c r="H81" s="537"/>
      <c r="I81" s="537"/>
      <c r="J81" s="537"/>
      <c r="K81" s="537"/>
      <c r="L81" s="537"/>
      <c r="M81" s="537"/>
      <c r="N81" s="537"/>
      <c r="O81" s="537"/>
      <c r="P81" s="537"/>
      <c r="Q81" s="537"/>
      <c r="R81" s="537"/>
      <c r="S81" s="537"/>
      <c r="T81" s="537"/>
      <c r="U81" s="537"/>
    </row>
    <row r="82" spans="1:21" ht="15">
      <c r="A82" s="537"/>
      <c r="B82" s="537"/>
      <c r="C82" s="537"/>
      <c r="D82" s="537"/>
      <c r="E82" s="537"/>
      <c r="F82" s="537"/>
      <c r="G82" s="537"/>
      <c r="H82" s="537"/>
      <c r="I82" s="537"/>
      <c r="J82" s="537"/>
      <c r="K82" s="537"/>
      <c r="L82" s="537"/>
      <c r="M82" s="537"/>
      <c r="N82" s="537"/>
      <c r="O82" s="537"/>
      <c r="P82" s="537"/>
      <c r="Q82" s="537"/>
      <c r="R82" s="537"/>
      <c r="S82" s="537"/>
      <c r="T82" s="537"/>
      <c r="U82" s="537"/>
    </row>
    <row r="83" spans="1:21" ht="15">
      <c r="A83" s="537"/>
      <c r="B83" s="537"/>
      <c r="C83" s="537"/>
      <c r="D83" s="537"/>
      <c r="E83" s="537"/>
      <c r="F83" s="537"/>
      <c r="G83" s="537"/>
      <c r="H83" s="537"/>
      <c r="I83" s="537"/>
      <c r="J83" s="537"/>
      <c r="K83" s="537"/>
      <c r="L83" s="537"/>
      <c r="M83" s="537"/>
      <c r="N83" s="537"/>
      <c r="O83" s="537"/>
      <c r="P83" s="537"/>
      <c r="Q83" s="537"/>
      <c r="R83" s="537"/>
      <c r="S83" s="537"/>
      <c r="T83" s="537"/>
      <c r="U83" s="537"/>
    </row>
    <row r="84" spans="1:21" ht="15">
      <c r="A84" s="537"/>
      <c r="B84" s="537"/>
      <c r="C84" s="537"/>
      <c r="D84" s="537"/>
      <c r="E84" s="537"/>
      <c r="F84" s="537"/>
      <c r="G84" s="537"/>
      <c r="H84" s="537"/>
      <c r="I84" s="537"/>
      <c r="J84" s="537"/>
      <c r="K84" s="537"/>
      <c r="L84" s="537"/>
      <c r="M84" s="537"/>
      <c r="N84" s="537"/>
      <c r="O84" s="537"/>
      <c r="P84" s="537"/>
      <c r="Q84" s="537"/>
      <c r="R84" s="537"/>
      <c r="S84" s="537"/>
      <c r="T84" s="537"/>
      <c r="U84" s="537"/>
    </row>
    <row r="85" spans="1:21" ht="15">
      <c r="A85" s="537"/>
      <c r="B85" s="537"/>
      <c r="C85" s="537"/>
      <c r="D85" s="537"/>
      <c r="E85" s="537"/>
      <c r="F85" s="537"/>
      <c r="G85" s="537"/>
      <c r="H85" s="537"/>
      <c r="I85" s="537"/>
      <c r="J85" s="537"/>
      <c r="K85" s="537"/>
      <c r="L85" s="537"/>
      <c r="M85" s="537"/>
      <c r="N85" s="537"/>
      <c r="O85" s="537"/>
      <c r="P85" s="537"/>
      <c r="Q85" s="537"/>
      <c r="R85" s="537"/>
      <c r="S85" s="537"/>
      <c r="T85" s="537"/>
      <c r="U85" s="537"/>
    </row>
    <row r="86" spans="1:21" ht="15">
      <c r="A86" s="537"/>
      <c r="B86" s="537"/>
      <c r="C86" s="537"/>
      <c r="D86" s="537"/>
      <c r="E86" s="537"/>
      <c r="F86" s="537"/>
      <c r="G86" s="537"/>
      <c r="H86" s="537"/>
      <c r="I86" s="537"/>
      <c r="J86" s="537"/>
      <c r="K86" s="537"/>
      <c r="L86" s="537"/>
      <c r="M86" s="537"/>
      <c r="N86" s="537"/>
      <c r="O86" s="537"/>
      <c r="P86" s="537"/>
      <c r="Q86" s="537"/>
      <c r="R86" s="537"/>
      <c r="S86" s="537"/>
      <c r="T86" s="537"/>
      <c r="U86" s="537"/>
    </row>
    <row r="87" spans="1:21" ht="15">
      <c r="A87" s="537"/>
      <c r="B87" s="537"/>
      <c r="C87" s="537"/>
      <c r="D87" s="537"/>
      <c r="E87" s="537"/>
      <c r="F87" s="537"/>
      <c r="G87" s="537"/>
      <c r="H87" s="537"/>
      <c r="I87" s="537"/>
      <c r="J87" s="537"/>
      <c r="K87" s="537"/>
      <c r="L87" s="537"/>
      <c r="M87" s="537"/>
      <c r="N87" s="537"/>
      <c r="O87" s="537"/>
      <c r="P87" s="537"/>
      <c r="Q87" s="537"/>
      <c r="R87" s="537"/>
      <c r="S87" s="537"/>
      <c r="T87" s="537"/>
      <c r="U87" s="537"/>
    </row>
    <row r="88" spans="1:21" ht="15">
      <c r="A88" s="537"/>
      <c r="B88" s="537"/>
      <c r="C88" s="537"/>
      <c r="D88" s="537"/>
      <c r="E88" s="537"/>
      <c r="F88" s="537"/>
      <c r="G88" s="537"/>
      <c r="H88" s="537"/>
      <c r="I88" s="537"/>
      <c r="J88" s="537"/>
      <c r="K88" s="537"/>
      <c r="L88" s="537"/>
      <c r="M88" s="537"/>
      <c r="N88" s="537"/>
      <c r="O88" s="537"/>
      <c r="P88" s="537"/>
      <c r="Q88" s="537"/>
      <c r="R88" s="537"/>
      <c r="S88" s="537"/>
      <c r="T88" s="537"/>
      <c r="U88" s="537"/>
    </row>
    <row r="89" spans="1:21" ht="15">
      <c r="A89" s="537"/>
      <c r="B89" s="537"/>
      <c r="C89" s="537"/>
      <c r="D89" s="537"/>
      <c r="E89" s="537"/>
      <c r="F89" s="537"/>
      <c r="G89" s="537"/>
      <c r="H89" s="537"/>
      <c r="I89" s="537"/>
      <c r="J89" s="537"/>
      <c r="K89" s="537"/>
      <c r="L89" s="537"/>
      <c r="M89" s="537"/>
      <c r="N89" s="537"/>
      <c r="O89" s="537"/>
      <c r="P89" s="537"/>
      <c r="Q89" s="537"/>
      <c r="R89" s="537"/>
      <c r="S89" s="537"/>
      <c r="T89" s="537"/>
      <c r="U89" s="537"/>
    </row>
    <row r="90" spans="1:21" ht="15">
      <c r="A90" s="537"/>
      <c r="B90" s="537"/>
      <c r="C90" s="537"/>
      <c r="D90" s="537"/>
      <c r="E90" s="537"/>
      <c r="F90" s="537"/>
      <c r="G90" s="537"/>
      <c r="H90" s="537"/>
      <c r="I90" s="537"/>
      <c r="J90" s="537"/>
      <c r="K90" s="537"/>
      <c r="L90" s="537"/>
      <c r="M90" s="537"/>
      <c r="N90" s="537"/>
      <c r="O90" s="537"/>
      <c r="P90" s="537"/>
      <c r="Q90" s="537"/>
      <c r="R90" s="537"/>
      <c r="S90" s="537"/>
      <c r="T90" s="537"/>
      <c r="U90" s="537"/>
    </row>
    <row r="91" spans="1:21" ht="15">
      <c r="A91" s="537"/>
      <c r="B91" s="537"/>
      <c r="C91" s="537"/>
      <c r="D91" s="537"/>
      <c r="E91" s="537"/>
      <c r="F91" s="537"/>
      <c r="G91" s="537"/>
      <c r="H91" s="537"/>
      <c r="I91" s="537"/>
      <c r="J91" s="537"/>
      <c r="K91" s="537"/>
      <c r="L91" s="537"/>
      <c r="M91" s="537"/>
      <c r="N91" s="537"/>
      <c r="O91" s="537"/>
      <c r="P91" s="537"/>
      <c r="Q91" s="537"/>
      <c r="R91" s="537"/>
      <c r="S91" s="537"/>
      <c r="T91" s="537"/>
      <c r="U91" s="537"/>
    </row>
    <row r="92" spans="1:21" ht="15">
      <c r="A92" s="537"/>
      <c r="B92" s="537"/>
      <c r="C92" s="537"/>
      <c r="D92" s="537"/>
      <c r="E92" s="537"/>
      <c r="F92" s="537"/>
      <c r="G92" s="537"/>
      <c r="H92" s="537"/>
      <c r="I92" s="537"/>
      <c r="J92" s="537"/>
      <c r="K92" s="537"/>
      <c r="L92" s="537"/>
      <c r="M92" s="537"/>
      <c r="N92" s="537"/>
      <c r="O92" s="537"/>
      <c r="P92" s="537"/>
      <c r="Q92" s="537"/>
      <c r="R92" s="537"/>
      <c r="S92" s="537"/>
      <c r="T92" s="537"/>
      <c r="U92" s="537"/>
    </row>
    <row r="93" spans="1:21" ht="15">
      <c r="A93" s="537"/>
      <c r="B93" s="537"/>
      <c r="C93" s="537"/>
      <c r="D93" s="537"/>
      <c r="E93" s="537"/>
      <c r="F93" s="537"/>
      <c r="G93" s="537"/>
      <c r="H93" s="537"/>
      <c r="I93" s="537"/>
      <c r="J93" s="537"/>
      <c r="K93" s="537"/>
      <c r="L93" s="537"/>
      <c r="M93" s="537"/>
      <c r="N93" s="537"/>
      <c r="O93" s="537"/>
      <c r="P93" s="537"/>
      <c r="Q93" s="537"/>
      <c r="R93" s="537"/>
      <c r="S93" s="537"/>
      <c r="T93" s="537"/>
      <c r="U93" s="537"/>
    </row>
    <row r="94" spans="1:21" ht="15">
      <c r="A94" s="537"/>
      <c r="B94" s="537"/>
      <c r="C94" s="537"/>
      <c r="D94" s="537"/>
      <c r="E94" s="537"/>
      <c r="F94" s="537"/>
      <c r="G94" s="537"/>
      <c r="H94" s="537"/>
      <c r="I94" s="537"/>
      <c r="J94" s="537"/>
      <c r="K94" s="537"/>
      <c r="L94" s="537"/>
      <c r="M94" s="537"/>
      <c r="N94" s="537"/>
      <c r="O94" s="537"/>
      <c r="P94" s="537"/>
      <c r="Q94" s="537"/>
      <c r="R94" s="537"/>
      <c r="S94" s="537"/>
      <c r="T94" s="537"/>
      <c r="U94" s="537"/>
    </row>
    <row r="95" spans="1:21" ht="15">
      <c r="A95" s="537"/>
      <c r="B95" s="537"/>
      <c r="C95" s="537"/>
      <c r="D95" s="537"/>
      <c r="E95" s="537"/>
      <c r="F95" s="537"/>
      <c r="G95" s="537"/>
      <c r="H95" s="537"/>
      <c r="I95" s="537"/>
      <c r="J95" s="537"/>
      <c r="K95" s="537"/>
      <c r="L95" s="537"/>
      <c r="M95" s="537"/>
      <c r="N95" s="537"/>
      <c r="O95" s="537"/>
      <c r="P95" s="537"/>
      <c r="Q95" s="537"/>
      <c r="R95" s="537"/>
      <c r="S95" s="537"/>
      <c r="T95" s="537"/>
      <c r="U95" s="537"/>
    </row>
    <row r="96" spans="1:21" ht="15">
      <c r="A96" s="537"/>
      <c r="B96" s="537"/>
      <c r="C96" s="537"/>
      <c r="D96" s="537"/>
      <c r="E96" s="537"/>
      <c r="F96" s="537"/>
      <c r="G96" s="537"/>
      <c r="H96" s="537"/>
      <c r="I96" s="537"/>
      <c r="J96" s="537"/>
      <c r="K96" s="537"/>
      <c r="L96" s="537"/>
      <c r="M96" s="537"/>
      <c r="N96" s="537"/>
      <c r="O96" s="537"/>
      <c r="P96" s="537"/>
      <c r="Q96" s="537"/>
      <c r="R96" s="537"/>
      <c r="S96" s="537"/>
      <c r="T96" s="537"/>
      <c r="U96" s="537"/>
    </row>
    <row r="97" spans="1:21" ht="15">
      <c r="A97" s="537"/>
      <c r="B97" s="537"/>
      <c r="C97" s="537"/>
      <c r="D97" s="537"/>
      <c r="E97" s="537"/>
      <c r="F97" s="537"/>
      <c r="G97" s="537"/>
      <c r="H97" s="537"/>
      <c r="I97" s="537"/>
      <c r="J97" s="537"/>
      <c r="K97" s="537"/>
      <c r="L97" s="537"/>
      <c r="M97" s="537"/>
      <c r="N97" s="537"/>
      <c r="O97" s="537"/>
      <c r="P97" s="537"/>
      <c r="Q97" s="537"/>
      <c r="R97" s="537"/>
      <c r="S97" s="537"/>
      <c r="T97" s="537"/>
      <c r="U97" s="537"/>
    </row>
    <row r="98" spans="1:21" ht="15">
      <c r="A98" s="537"/>
      <c r="B98" s="537"/>
      <c r="C98" s="537"/>
      <c r="D98" s="537"/>
      <c r="E98" s="537"/>
      <c r="F98" s="537"/>
      <c r="G98" s="537"/>
      <c r="H98" s="537"/>
      <c r="I98" s="537"/>
      <c r="J98" s="537"/>
      <c r="K98" s="537"/>
      <c r="L98" s="537"/>
      <c r="M98" s="537"/>
      <c r="N98" s="537"/>
      <c r="O98" s="537"/>
      <c r="P98" s="537"/>
      <c r="Q98" s="537"/>
      <c r="R98" s="537"/>
      <c r="S98" s="537"/>
      <c r="T98" s="537"/>
      <c r="U98" s="537"/>
    </row>
    <row r="99" spans="1:21" ht="15">
      <c r="A99" s="537"/>
      <c r="B99" s="537"/>
      <c r="C99" s="537"/>
      <c r="D99" s="537"/>
      <c r="E99" s="537"/>
      <c r="F99" s="537"/>
      <c r="G99" s="537"/>
      <c r="H99" s="537"/>
      <c r="I99" s="537"/>
      <c r="J99" s="537"/>
      <c r="K99" s="537"/>
      <c r="L99" s="537"/>
      <c r="M99" s="537"/>
      <c r="N99" s="537"/>
      <c r="O99" s="537"/>
      <c r="P99" s="537"/>
      <c r="Q99" s="537"/>
      <c r="R99" s="537"/>
      <c r="S99" s="537"/>
      <c r="T99" s="537"/>
      <c r="U99" s="537"/>
    </row>
    <row r="100" spans="1:21" ht="15">
      <c r="A100" s="537"/>
      <c r="B100" s="537"/>
      <c r="C100" s="537"/>
      <c r="D100" s="537"/>
      <c r="E100" s="537"/>
      <c r="F100" s="537"/>
      <c r="G100" s="537"/>
      <c r="H100" s="537"/>
      <c r="I100" s="537"/>
      <c r="J100" s="537"/>
      <c r="K100" s="537"/>
      <c r="L100" s="537"/>
      <c r="M100" s="537"/>
      <c r="N100" s="537"/>
      <c r="O100" s="537"/>
      <c r="P100" s="537"/>
      <c r="Q100" s="537"/>
      <c r="R100" s="537"/>
      <c r="S100" s="537"/>
      <c r="T100" s="537"/>
      <c r="U100" s="537"/>
    </row>
    <row r="101" spans="1:21" ht="15">
      <c r="A101" s="537"/>
      <c r="B101" s="537"/>
      <c r="C101" s="537"/>
      <c r="D101" s="537"/>
      <c r="E101" s="537"/>
      <c r="F101" s="537"/>
      <c r="G101" s="537"/>
      <c r="H101" s="537"/>
      <c r="I101" s="537"/>
      <c r="J101" s="537"/>
      <c r="K101" s="537"/>
      <c r="L101" s="537"/>
      <c r="M101" s="537"/>
      <c r="N101" s="537"/>
      <c r="O101" s="537"/>
      <c r="P101" s="537"/>
      <c r="Q101" s="537"/>
      <c r="R101" s="537"/>
      <c r="S101" s="537"/>
      <c r="T101" s="537"/>
      <c r="U101" s="537"/>
    </row>
    <row r="102" spans="1:21" ht="15">
      <c r="A102" s="537"/>
      <c r="B102" s="537"/>
      <c r="C102" s="537"/>
      <c r="D102" s="537"/>
      <c r="E102" s="537"/>
      <c r="F102" s="537"/>
      <c r="G102" s="537"/>
      <c r="H102" s="537"/>
      <c r="I102" s="537"/>
      <c r="J102" s="537"/>
      <c r="K102" s="537"/>
      <c r="L102" s="537"/>
      <c r="M102" s="537"/>
      <c r="N102" s="537"/>
      <c r="O102" s="537"/>
      <c r="P102" s="537"/>
      <c r="Q102" s="537"/>
      <c r="R102" s="537"/>
      <c r="S102" s="537"/>
      <c r="T102" s="537"/>
      <c r="U102" s="537"/>
    </row>
    <row r="103" spans="1:21" ht="15">
      <c r="A103" s="537"/>
      <c r="B103" s="537"/>
      <c r="C103" s="537"/>
      <c r="D103" s="537"/>
      <c r="E103" s="537"/>
      <c r="F103" s="537"/>
      <c r="G103" s="537"/>
      <c r="H103" s="537"/>
      <c r="I103" s="537"/>
      <c r="J103" s="537"/>
      <c r="K103" s="537"/>
      <c r="L103" s="537"/>
      <c r="M103" s="537"/>
      <c r="N103" s="537"/>
      <c r="O103" s="537"/>
      <c r="P103" s="537"/>
      <c r="Q103" s="537"/>
      <c r="R103" s="537"/>
      <c r="S103" s="537"/>
      <c r="T103" s="537"/>
      <c r="U103" s="537"/>
    </row>
    <row r="104" spans="1:21" ht="15">
      <c r="A104" s="537"/>
      <c r="B104" s="537"/>
      <c r="C104" s="537"/>
      <c r="D104" s="537"/>
      <c r="E104" s="537"/>
      <c r="F104" s="537"/>
      <c r="G104" s="537"/>
      <c r="H104" s="537"/>
      <c r="I104" s="537"/>
      <c r="J104" s="537"/>
      <c r="K104" s="537"/>
      <c r="L104" s="537"/>
      <c r="M104" s="537"/>
      <c r="N104" s="537"/>
      <c r="O104" s="537"/>
      <c r="P104" s="537"/>
      <c r="Q104" s="537"/>
      <c r="R104" s="537"/>
      <c r="S104" s="537"/>
      <c r="T104" s="537"/>
      <c r="U104" s="537"/>
    </row>
    <row r="105" spans="1:21" ht="15">
      <c r="A105" s="537"/>
      <c r="B105" s="537"/>
      <c r="C105" s="537"/>
      <c r="D105" s="537"/>
      <c r="E105" s="537"/>
      <c r="F105" s="537"/>
      <c r="G105" s="537"/>
      <c r="H105" s="537"/>
      <c r="I105" s="537"/>
      <c r="J105" s="537"/>
      <c r="K105" s="537"/>
      <c r="L105" s="537"/>
      <c r="M105" s="537"/>
      <c r="N105" s="537"/>
      <c r="O105" s="537"/>
      <c r="P105" s="537"/>
      <c r="Q105" s="537"/>
      <c r="R105" s="537"/>
      <c r="S105" s="537"/>
      <c r="T105" s="537"/>
      <c r="U105" s="537"/>
    </row>
    <row r="106" spans="1:21" ht="15">
      <c r="A106" s="537"/>
      <c r="B106" s="537"/>
      <c r="C106" s="537"/>
      <c r="D106" s="537"/>
      <c r="E106" s="537"/>
      <c r="F106" s="537"/>
      <c r="G106" s="537"/>
      <c r="H106" s="537"/>
      <c r="I106" s="537"/>
      <c r="J106" s="537"/>
      <c r="K106" s="537"/>
      <c r="L106" s="537"/>
      <c r="M106" s="537"/>
      <c r="N106" s="537"/>
      <c r="O106" s="537"/>
      <c r="P106" s="537"/>
      <c r="Q106" s="537"/>
      <c r="R106" s="537"/>
      <c r="S106" s="537"/>
      <c r="T106" s="537"/>
      <c r="U106" s="537"/>
    </row>
    <row r="107" spans="1:21" ht="15">
      <c r="A107" s="537"/>
      <c r="B107" s="537"/>
      <c r="C107" s="537"/>
      <c r="D107" s="537"/>
      <c r="E107" s="537"/>
      <c r="F107" s="537"/>
      <c r="G107" s="537"/>
      <c r="H107" s="537"/>
      <c r="I107" s="537"/>
      <c r="J107" s="537"/>
      <c r="K107" s="537"/>
      <c r="L107" s="537"/>
      <c r="M107" s="537"/>
      <c r="N107" s="537"/>
      <c r="O107" s="537"/>
      <c r="P107" s="537"/>
      <c r="Q107" s="537"/>
      <c r="R107" s="537"/>
      <c r="S107" s="537"/>
      <c r="T107" s="537"/>
      <c r="U107" s="537"/>
    </row>
    <row r="108" spans="1:21" ht="15">
      <c r="A108" s="537"/>
      <c r="B108" s="537"/>
      <c r="C108" s="537"/>
      <c r="D108" s="537"/>
      <c r="E108" s="537"/>
      <c r="F108" s="537"/>
      <c r="G108" s="537"/>
      <c r="H108" s="537"/>
      <c r="I108" s="537"/>
      <c r="J108" s="537"/>
      <c r="K108" s="537"/>
      <c r="L108" s="537"/>
      <c r="M108" s="537"/>
      <c r="N108" s="537"/>
      <c r="O108" s="537"/>
      <c r="P108" s="537"/>
      <c r="Q108" s="537"/>
      <c r="R108" s="537"/>
      <c r="S108" s="537"/>
      <c r="T108" s="537"/>
      <c r="U108" s="537"/>
    </row>
    <row r="109" spans="1:21" ht="15">
      <c r="A109" s="537"/>
      <c r="B109" s="537"/>
      <c r="C109" s="537"/>
      <c r="D109" s="537"/>
      <c r="E109" s="537"/>
      <c r="F109" s="537"/>
      <c r="G109" s="537"/>
      <c r="H109" s="537"/>
      <c r="I109" s="537"/>
      <c r="J109" s="537"/>
      <c r="K109" s="537"/>
      <c r="L109" s="537"/>
      <c r="M109" s="537"/>
      <c r="N109" s="537"/>
      <c r="O109" s="537"/>
      <c r="P109" s="537"/>
      <c r="Q109" s="537"/>
      <c r="R109" s="537"/>
      <c r="S109" s="537"/>
      <c r="T109" s="537"/>
      <c r="U109" s="537"/>
    </row>
    <row r="110" spans="1:21" ht="15">
      <c r="A110" s="537"/>
      <c r="B110" s="537"/>
      <c r="C110" s="537"/>
      <c r="D110" s="537"/>
      <c r="E110" s="537"/>
      <c r="F110" s="537"/>
      <c r="G110" s="537"/>
      <c r="H110" s="537"/>
      <c r="I110" s="537"/>
      <c r="J110" s="537"/>
      <c r="K110" s="537"/>
      <c r="L110" s="537"/>
      <c r="M110" s="537"/>
      <c r="N110" s="537"/>
      <c r="O110" s="537"/>
      <c r="P110" s="537"/>
      <c r="Q110" s="537"/>
      <c r="R110" s="537"/>
      <c r="S110" s="537"/>
      <c r="T110" s="537"/>
      <c r="U110" s="537"/>
    </row>
    <row r="111" spans="1:21" ht="15">
      <c r="A111" s="537"/>
      <c r="B111" s="537"/>
      <c r="C111" s="537"/>
      <c r="D111" s="537"/>
      <c r="E111" s="537"/>
      <c r="F111" s="537"/>
      <c r="G111" s="537"/>
      <c r="H111" s="537"/>
      <c r="I111" s="537"/>
      <c r="J111" s="537"/>
      <c r="K111" s="537"/>
      <c r="L111" s="537"/>
      <c r="M111" s="537"/>
      <c r="N111" s="537"/>
      <c r="O111" s="537"/>
      <c r="P111" s="537"/>
      <c r="Q111" s="537"/>
      <c r="R111" s="537"/>
      <c r="S111" s="537"/>
      <c r="T111" s="537"/>
      <c r="U111" s="537"/>
    </row>
    <row r="112" spans="1:21" ht="15">
      <c r="J112" s="537"/>
      <c r="K112" s="537"/>
      <c r="L112" s="537"/>
      <c r="M112" s="537"/>
      <c r="N112" s="537"/>
      <c r="O112" s="537"/>
      <c r="P112" s="537"/>
      <c r="Q112" s="537"/>
      <c r="R112" s="537"/>
      <c r="S112" s="537"/>
      <c r="T112" s="537"/>
      <c r="U112" s="537"/>
    </row>
    <row r="113" spans="10:21" ht="15">
      <c r="J113" s="537"/>
      <c r="K113" s="537"/>
      <c r="L113" s="537"/>
      <c r="M113" s="537"/>
      <c r="N113" s="537"/>
      <c r="O113" s="537"/>
      <c r="P113" s="537"/>
      <c r="Q113" s="537"/>
      <c r="R113" s="537"/>
      <c r="S113" s="537"/>
      <c r="T113" s="537"/>
      <c r="U113" s="537"/>
    </row>
    <row r="114" spans="10:21" ht="15">
      <c r="J114" s="537"/>
      <c r="K114" s="537"/>
      <c r="L114" s="537"/>
      <c r="M114" s="537"/>
      <c r="N114" s="537"/>
      <c r="O114" s="537"/>
      <c r="P114" s="537"/>
      <c r="Q114" s="537"/>
      <c r="R114" s="537"/>
      <c r="S114" s="537"/>
      <c r="T114" s="537"/>
      <c r="U114" s="537"/>
    </row>
    <row r="115" spans="10:21" ht="15">
      <c r="J115" s="537"/>
      <c r="K115" s="537"/>
      <c r="L115" s="537"/>
      <c r="M115" s="537"/>
      <c r="N115" s="537"/>
      <c r="O115" s="537"/>
      <c r="P115" s="537"/>
      <c r="Q115" s="537"/>
      <c r="R115" s="537"/>
      <c r="S115" s="537"/>
      <c r="T115" s="537"/>
      <c r="U115" s="537"/>
    </row>
    <row r="116" spans="10:21" ht="15">
      <c r="J116" s="537"/>
      <c r="K116" s="537"/>
      <c r="L116" s="537"/>
      <c r="M116" s="537"/>
      <c r="N116" s="537"/>
      <c r="O116" s="537"/>
      <c r="P116" s="537"/>
      <c r="Q116" s="537"/>
      <c r="R116" s="537"/>
      <c r="S116" s="537"/>
      <c r="T116" s="537"/>
      <c r="U116" s="537"/>
    </row>
    <row r="117" spans="10:21" ht="15">
      <c r="J117" s="537"/>
      <c r="K117" s="537"/>
      <c r="L117" s="537"/>
      <c r="M117" s="537"/>
      <c r="N117" s="537"/>
      <c r="O117" s="537"/>
      <c r="P117" s="537"/>
      <c r="Q117" s="537"/>
      <c r="R117" s="537"/>
      <c r="S117" s="537"/>
      <c r="T117" s="537"/>
      <c r="U117" s="537"/>
    </row>
    <row r="118" spans="10:21" ht="15">
      <c r="J118" s="537"/>
      <c r="K118" s="537"/>
      <c r="L118" s="537"/>
      <c r="M118" s="537"/>
      <c r="N118" s="537"/>
      <c r="O118" s="537"/>
      <c r="P118" s="537"/>
      <c r="Q118" s="537"/>
      <c r="R118" s="537"/>
      <c r="S118" s="537"/>
      <c r="T118" s="537"/>
      <c r="U118" s="537"/>
    </row>
    <row r="119" spans="10:21" ht="15">
      <c r="J119" s="537"/>
      <c r="K119" s="537"/>
      <c r="L119" s="537"/>
      <c r="M119" s="537"/>
      <c r="N119" s="537"/>
      <c r="O119" s="537"/>
      <c r="P119" s="537"/>
      <c r="Q119" s="537"/>
      <c r="R119" s="537"/>
      <c r="S119" s="537"/>
      <c r="T119" s="537"/>
      <c r="U119" s="537"/>
    </row>
    <row r="120" spans="10:21" ht="15">
      <c r="J120" s="537"/>
      <c r="K120" s="537"/>
      <c r="L120" s="537"/>
      <c r="M120" s="537"/>
      <c r="N120" s="537"/>
      <c r="O120" s="537"/>
      <c r="P120" s="537"/>
      <c r="Q120" s="537"/>
      <c r="R120" s="537"/>
      <c r="S120" s="537"/>
      <c r="T120" s="537"/>
      <c r="U120" s="537"/>
    </row>
    <row r="121" spans="10:21" ht="15">
      <c r="J121" s="537"/>
      <c r="K121" s="537"/>
      <c r="L121" s="537"/>
      <c r="M121" s="537"/>
      <c r="N121" s="537"/>
      <c r="O121" s="537"/>
      <c r="P121" s="537"/>
      <c r="Q121" s="537"/>
      <c r="R121" s="537"/>
      <c r="S121" s="537"/>
      <c r="T121" s="537"/>
      <c r="U121" s="537"/>
    </row>
    <row r="122" spans="10:21" ht="15">
      <c r="J122" s="537"/>
      <c r="K122" s="537"/>
      <c r="L122" s="537"/>
      <c r="M122" s="537"/>
      <c r="N122" s="537"/>
      <c r="O122" s="537"/>
      <c r="P122" s="537"/>
      <c r="Q122" s="537"/>
      <c r="R122" s="537"/>
      <c r="S122" s="537"/>
      <c r="T122" s="537"/>
      <c r="U122" s="537"/>
    </row>
    <row r="123" spans="10:21" ht="15">
      <c r="J123" s="537"/>
      <c r="K123" s="537"/>
      <c r="L123" s="537"/>
      <c r="M123" s="537"/>
      <c r="N123" s="537"/>
      <c r="O123" s="537"/>
      <c r="P123" s="537"/>
      <c r="Q123" s="537"/>
      <c r="R123" s="537"/>
      <c r="S123" s="537"/>
      <c r="T123" s="537"/>
      <c r="U123" s="537"/>
    </row>
    <row r="124" spans="10:21" ht="15">
      <c r="J124" s="537"/>
      <c r="K124" s="537"/>
      <c r="L124" s="537"/>
      <c r="M124" s="537"/>
      <c r="N124" s="537"/>
      <c r="O124" s="537"/>
      <c r="P124" s="537"/>
      <c r="Q124" s="537"/>
      <c r="R124" s="537"/>
      <c r="S124" s="537"/>
      <c r="T124" s="537"/>
      <c r="U124" s="537"/>
    </row>
    <row r="125" spans="10:21" ht="15">
      <c r="J125" s="537"/>
      <c r="K125" s="537"/>
      <c r="L125" s="537"/>
      <c r="M125" s="537"/>
      <c r="N125" s="537"/>
      <c r="O125" s="537"/>
      <c r="P125" s="537"/>
      <c r="Q125" s="537"/>
      <c r="R125" s="537"/>
      <c r="S125" s="537"/>
      <c r="T125" s="537"/>
      <c r="U125" s="537"/>
    </row>
    <row r="126" spans="10:21" ht="15">
      <c r="J126" s="537"/>
      <c r="K126" s="537"/>
      <c r="L126" s="537"/>
      <c r="M126" s="537"/>
      <c r="N126" s="537"/>
      <c r="O126" s="537"/>
      <c r="P126" s="537"/>
      <c r="Q126" s="537"/>
      <c r="R126" s="537"/>
      <c r="S126" s="537"/>
      <c r="T126" s="537"/>
      <c r="U126" s="537"/>
    </row>
    <row r="127" spans="10:21" ht="15">
      <c r="J127" s="537"/>
      <c r="K127" s="537"/>
      <c r="L127" s="537"/>
      <c r="M127" s="537"/>
      <c r="N127" s="537"/>
      <c r="O127" s="537"/>
      <c r="P127" s="537"/>
      <c r="Q127" s="537"/>
      <c r="R127" s="537"/>
      <c r="S127" s="537"/>
      <c r="T127" s="537"/>
      <c r="U127" s="537"/>
    </row>
    <row r="128" spans="10:21" ht="15">
      <c r="J128" s="537"/>
      <c r="K128" s="537"/>
      <c r="L128" s="537"/>
      <c r="M128" s="537"/>
      <c r="N128" s="537"/>
      <c r="O128" s="537"/>
      <c r="P128" s="537"/>
      <c r="Q128" s="537"/>
      <c r="R128" s="537"/>
      <c r="S128" s="537"/>
      <c r="T128" s="537"/>
      <c r="U128" s="537"/>
    </row>
    <row r="129" spans="10:21" ht="15">
      <c r="J129" s="537"/>
      <c r="K129" s="537"/>
      <c r="L129" s="537"/>
      <c r="M129" s="537"/>
      <c r="N129" s="537"/>
      <c r="O129" s="537"/>
      <c r="P129" s="537"/>
      <c r="Q129" s="537"/>
      <c r="R129" s="537"/>
      <c r="S129" s="537"/>
      <c r="T129" s="537"/>
      <c r="U129" s="537"/>
    </row>
    <row r="130" spans="10:21" ht="15">
      <c r="J130" s="537"/>
      <c r="K130" s="537"/>
      <c r="L130" s="537"/>
      <c r="M130" s="537"/>
      <c r="N130" s="537"/>
      <c r="O130" s="537"/>
      <c r="P130" s="537"/>
      <c r="Q130" s="537"/>
      <c r="R130" s="537"/>
      <c r="S130" s="537"/>
      <c r="T130" s="537"/>
      <c r="U130" s="537"/>
    </row>
    <row r="131" spans="10:21" ht="15">
      <c r="J131" s="537"/>
      <c r="K131" s="537"/>
      <c r="L131" s="537"/>
      <c r="M131" s="537"/>
      <c r="N131" s="537"/>
      <c r="O131" s="537"/>
      <c r="P131" s="537"/>
      <c r="Q131" s="537"/>
      <c r="R131" s="537"/>
      <c r="S131" s="537"/>
      <c r="T131" s="537"/>
      <c r="U131" s="537"/>
    </row>
    <row r="132" spans="10:21" ht="15">
      <c r="J132" s="537"/>
      <c r="K132" s="537"/>
      <c r="L132" s="537"/>
      <c r="M132" s="537"/>
      <c r="N132" s="537"/>
      <c r="O132" s="537"/>
      <c r="P132" s="537"/>
      <c r="Q132" s="537"/>
      <c r="R132" s="537"/>
      <c r="S132" s="537"/>
      <c r="T132" s="537"/>
      <c r="U132" s="537"/>
    </row>
    <row r="133" spans="10:21" ht="15">
      <c r="J133" s="537"/>
      <c r="K133" s="537"/>
      <c r="L133" s="537"/>
      <c r="M133" s="537"/>
      <c r="N133" s="537"/>
      <c r="O133" s="537"/>
      <c r="P133" s="537"/>
      <c r="Q133" s="537"/>
      <c r="R133" s="537"/>
      <c r="S133" s="537"/>
      <c r="T133" s="537"/>
      <c r="U133" s="537"/>
    </row>
    <row r="134" spans="10:21" ht="15">
      <c r="J134" s="537"/>
      <c r="K134" s="537"/>
      <c r="L134" s="537"/>
      <c r="M134" s="537"/>
      <c r="N134" s="537"/>
      <c r="O134" s="537"/>
      <c r="P134" s="537"/>
      <c r="Q134" s="537"/>
      <c r="R134" s="537"/>
      <c r="S134" s="537"/>
      <c r="T134" s="537"/>
      <c r="U134" s="537"/>
    </row>
    <row r="135" spans="10:21" ht="15">
      <c r="J135" s="537"/>
      <c r="K135" s="537"/>
      <c r="L135" s="537"/>
      <c r="M135" s="537"/>
      <c r="N135" s="537"/>
      <c r="O135" s="537"/>
      <c r="P135" s="537"/>
      <c r="Q135" s="537"/>
      <c r="R135" s="537"/>
      <c r="S135" s="537"/>
      <c r="T135" s="537"/>
      <c r="U135" s="537"/>
    </row>
    <row r="136" spans="10:21" ht="15">
      <c r="J136" s="537"/>
      <c r="K136" s="537"/>
      <c r="L136" s="537"/>
      <c r="M136" s="537"/>
      <c r="N136" s="537"/>
      <c r="O136" s="537"/>
      <c r="P136" s="537"/>
      <c r="Q136" s="537"/>
      <c r="R136" s="537"/>
      <c r="S136" s="537"/>
      <c r="T136" s="537"/>
      <c r="U136" s="537"/>
    </row>
    <row r="137" spans="10:21" ht="15">
      <c r="J137" s="537"/>
      <c r="K137" s="537"/>
      <c r="L137" s="537"/>
      <c r="M137" s="537"/>
      <c r="N137" s="537"/>
      <c r="O137" s="537"/>
      <c r="P137" s="537"/>
      <c r="Q137" s="537"/>
      <c r="R137" s="537"/>
      <c r="S137" s="537"/>
      <c r="T137" s="537"/>
      <c r="U137" s="537"/>
    </row>
    <row r="138" spans="10:21" ht="15">
      <c r="J138" s="537"/>
      <c r="K138" s="537"/>
      <c r="L138" s="537"/>
      <c r="M138" s="537"/>
      <c r="N138" s="537"/>
      <c r="O138" s="537"/>
      <c r="P138" s="537"/>
      <c r="Q138" s="537"/>
      <c r="R138" s="537"/>
      <c r="S138" s="537"/>
      <c r="T138" s="537"/>
      <c r="U138" s="537"/>
    </row>
    <row r="139" spans="10:21" ht="15">
      <c r="J139" s="537"/>
      <c r="K139" s="537"/>
      <c r="L139" s="537"/>
      <c r="M139" s="537"/>
      <c r="N139" s="537"/>
      <c r="O139" s="537"/>
      <c r="P139" s="537"/>
      <c r="Q139" s="537"/>
      <c r="R139" s="537"/>
      <c r="S139" s="537"/>
      <c r="T139" s="537"/>
      <c r="U139" s="537"/>
    </row>
    <row r="140" spans="10:21" ht="15">
      <c r="J140" s="537"/>
      <c r="K140" s="537"/>
      <c r="L140" s="537"/>
      <c r="M140" s="537"/>
      <c r="N140" s="537"/>
      <c r="O140" s="537"/>
      <c r="P140" s="537"/>
      <c r="Q140" s="537"/>
      <c r="R140" s="537"/>
      <c r="S140" s="537"/>
      <c r="T140" s="537"/>
      <c r="U140" s="537"/>
    </row>
    <row r="141" spans="10:21" ht="15">
      <c r="J141" s="537"/>
      <c r="K141" s="537"/>
      <c r="L141" s="537"/>
      <c r="M141" s="537"/>
      <c r="N141" s="537"/>
      <c r="O141" s="537"/>
      <c r="P141" s="537"/>
      <c r="Q141" s="537"/>
      <c r="R141" s="537"/>
      <c r="S141" s="537"/>
      <c r="T141" s="537"/>
      <c r="U141" s="537"/>
    </row>
    <row r="142" spans="10:21" ht="15">
      <c r="J142" s="537"/>
      <c r="K142" s="537"/>
      <c r="L142" s="537"/>
      <c r="M142" s="537"/>
      <c r="N142" s="537"/>
      <c r="O142" s="537"/>
      <c r="P142" s="537"/>
      <c r="Q142" s="537"/>
      <c r="R142" s="537"/>
      <c r="S142" s="537"/>
      <c r="T142" s="537"/>
      <c r="U142" s="537"/>
    </row>
    <row r="143" spans="10:21" ht="15">
      <c r="J143" s="537"/>
      <c r="K143" s="537"/>
      <c r="L143" s="537"/>
      <c r="M143" s="537"/>
      <c r="N143" s="537"/>
      <c r="O143" s="537"/>
      <c r="P143" s="537"/>
      <c r="Q143" s="537"/>
      <c r="R143" s="537"/>
      <c r="S143" s="537"/>
      <c r="T143" s="537"/>
      <c r="U143" s="537"/>
    </row>
    <row r="144" spans="10:21" ht="15">
      <c r="J144" s="537"/>
      <c r="K144" s="537"/>
      <c r="L144" s="537"/>
      <c r="M144" s="537"/>
      <c r="N144" s="537"/>
      <c r="O144" s="537"/>
      <c r="P144" s="537"/>
      <c r="Q144" s="537"/>
      <c r="R144" s="537"/>
      <c r="S144" s="537"/>
      <c r="T144" s="537"/>
      <c r="U144" s="537"/>
    </row>
    <row r="145" spans="10:21" ht="15">
      <c r="J145" s="537"/>
      <c r="K145" s="537"/>
      <c r="L145" s="537"/>
      <c r="M145" s="537"/>
      <c r="N145" s="537"/>
      <c r="O145" s="537"/>
      <c r="P145" s="537"/>
      <c r="Q145" s="537"/>
      <c r="R145" s="537"/>
      <c r="S145" s="537"/>
      <c r="T145" s="537"/>
      <c r="U145" s="537"/>
    </row>
    <row r="146" spans="10:21" ht="15">
      <c r="J146" s="537"/>
      <c r="K146" s="537"/>
      <c r="L146" s="537"/>
      <c r="M146" s="537"/>
      <c r="N146" s="537"/>
      <c r="O146" s="537"/>
      <c r="P146" s="537"/>
      <c r="Q146" s="537"/>
      <c r="R146" s="537"/>
      <c r="S146" s="537"/>
      <c r="T146" s="537"/>
      <c r="U146" s="537"/>
    </row>
    <row r="147" spans="10:21" ht="15">
      <c r="J147" s="537"/>
      <c r="K147" s="537"/>
      <c r="L147" s="537"/>
      <c r="M147" s="537"/>
      <c r="N147" s="537"/>
      <c r="O147" s="537"/>
      <c r="P147" s="537"/>
      <c r="Q147" s="537"/>
      <c r="R147" s="537"/>
      <c r="S147" s="537"/>
      <c r="T147" s="537"/>
      <c r="U147" s="537"/>
    </row>
    <row r="148" spans="10:21" ht="15">
      <c r="J148" s="537"/>
      <c r="K148" s="537"/>
      <c r="L148" s="537"/>
      <c r="M148" s="537"/>
      <c r="N148" s="537"/>
      <c r="O148" s="537"/>
      <c r="P148" s="537"/>
      <c r="Q148" s="537"/>
      <c r="R148" s="537"/>
      <c r="S148" s="537"/>
      <c r="T148" s="537"/>
      <c r="U148" s="537"/>
    </row>
    <row r="149" spans="10:21" ht="15">
      <c r="J149" s="537"/>
      <c r="K149" s="537"/>
      <c r="L149" s="537"/>
      <c r="M149" s="537"/>
      <c r="N149" s="537"/>
      <c r="O149" s="537"/>
      <c r="P149" s="537"/>
      <c r="Q149" s="537"/>
      <c r="R149" s="537"/>
      <c r="S149" s="537"/>
      <c r="T149" s="537"/>
      <c r="U149" s="537"/>
    </row>
    <row r="150" spans="10:21" ht="15">
      <c r="J150" s="537"/>
      <c r="K150" s="537"/>
      <c r="L150" s="537"/>
      <c r="M150" s="537"/>
      <c r="N150" s="537"/>
      <c r="O150" s="537"/>
      <c r="P150" s="537"/>
      <c r="Q150" s="537"/>
      <c r="R150" s="537"/>
      <c r="S150" s="537"/>
      <c r="T150" s="537"/>
      <c r="U150" s="537"/>
    </row>
    <row r="151" spans="10:21" ht="15">
      <c r="J151" s="537"/>
      <c r="K151" s="537"/>
      <c r="L151" s="537"/>
      <c r="M151" s="537"/>
      <c r="N151" s="537"/>
      <c r="O151" s="537"/>
      <c r="P151" s="537"/>
      <c r="Q151" s="537"/>
      <c r="R151" s="537"/>
      <c r="S151" s="537"/>
      <c r="T151" s="537"/>
      <c r="U151" s="537"/>
    </row>
    <row r="152" spans="10:21" ht="15">
      <c r="J152" s="537"/>
      <c r="K152" s="537"/>
      <c r="L152" s="537"/>
      <c r="M152" s="537"/>
      <c r="N152" s="537"/>
      <c r="O152" s="537"/>
      <c r="P152" s="537"/>
      <c r="Q152" s="537"/>
      <c r="R152" s="537"/>
      <c r="S152" s="537"/>
      <c r="T152" s="537"/>
      <c r="U152" s="537"/>
    </row>
    <row r="153" spans="10:21" ht="15">
      <c r="J153" s="537"/>
      <c r="K153" s="537"/>
      <c r="L153" s="537"/>
      <c r="M153" s="537"/>
      <c r="N153" s="537"/>
      <c r="O153" s="537"/>
      <c r="P153" s="537"/>
      <c r="Q153" s="537"/>
      <c r="R153" s="537"/>
      <c r="S153" s="537"/>
      <c r="T153" s="537"/>
      <c r="U153" s="537"/>
    </row>
    <row r="154" spans="10:21" ht="15">
      <c r="J154" s="537"/>
      <c r="K154" s="537"/>
      <c r="L154" s="537"/>
      <c r="M154" s="537"/>
      <c r="N154" s="537"/>
      <c r="O154" s="537"/>
      <c r="P154" s="537"/>
      <c r="Q154" s="537"/>
      <c r="R154" s="537"/>
      <c r="S154" s="537"/>
      <c r="T154" s="537"/>
      <c r="U154" s="537"/>
    </row>
    <row r="155" spans="10:21" ht="15">
      <c r="J155" s="537"/>
      <c r="K155" s="537"/>
      <c r="L155" s="537"/>
      <c r="M155" s="537"/>
      <c r="N155" s="537"/>
      <c r="O155" s="537"/>
      <c r="P155" s="537"/>
      <c r="Q155" s="537"/>
      <c r="R155" s="537"/>
      <c r="S155" s="537"/>
      <c r="T155" s="537"/>
      <c r="U155" s="537"/>
    </row>
    <row r="156" spans="10:21" ht="15">
      <c r="J156" s="537"/>
      <c r="K156" s="537"/>
      <c r="L156" s="537"/>
      <c r="M156" s="537"/>
      <c r="N156" s="537"/>
      <c r="O156" s="537"/>
      <c r="P156" s="537"/>
      <c r="Q156" s="537"/>
      <c r="R156" s="537"/>
      <c r="S156" s="537"/>
      <c r="T156" s="537"/>
      <c r="U156" s="537"/>
    </row>
    <row r="157" spans="10:21" ht="15">
      <c r="J157" s="537"/>
      <c r="K157" s="537"/>
      <c r="L157" s="537"/>
      <c r="M157" s="537"/>
      <c r="N157" s="537"/>
      <c r="O157" s="537"/>
      <c r="P157" s="537"/>
      <c r="Q157" s="537"/>
      <c r="R157" s="537"/>
      <c r="S157" s="537"/>
      <c r="T157" s="537"/>
      <c r="U157" s="537"/>
    </row>
    <row r="158" spans="10:21" ht="15">
      <c r="J158" s="537"/>
      <c r="K158" s="537"/>
      <c r="L158" s="537"/>
      <c r="M158" s="537"/>
      <c r="N158" s="537"/>
      <c r="O158" s="537"/>
      <c r="P158" s="537"/>
      <c r="Q158" s="537"/>
      <c r="R158" s="537"/>
      <c r="S158" s="537"/>
      <c r="T158" s="537"/>
      <c r="U158" s="537"/>
    </row>
    <row r="159" spans="10:21" ht="15">
      <c r="J159" s="537"/>
      <c r="K159" s="537"/>
      <c r="L159" s="537"/>
      <c r="M159" s="537"/>
      <c r="N159" s="537"/>
      <c r="O159" s="537"/>
      <c r="P159" s="537"/>
      <c r="Q159" s="537"/>
      <c r="R159" s="537"/>
      <c r="S159" s="537"/>
      <c r="T159" s="537"/>
      <c r="U159" s="537"/>
    </row>
    <row r="160" spans="10:21" ht="15">
      <c r="J160" s="537"/>
      <c r="K160" s="537"/>
      <c r="L160" s="537"/>
      <c r="M160" s="537"/>
      <c r="N160" s="537"/>
      <c r="O160" s="537"/>
      <c r="P160" s="537"/>
      <c r="Q160" s="537"/>
      <c r="R160" s="537"/>
      <c r="S160" s="537"/>
      <c r="T160" s="537"/>
      <c r="U160" s="537"/>
    </row>
    <row r="161" spans="10:21" ht="15">
      <c r="J161" s="537"/>
      <c r="K161" s="537"/>
      <c r="L161" s="537"/>
      <c r="M161" s="537"/>
      <c r="N161" s="537"/>
      <c r="O161" s="537"/>
      <c r="P161" s="537"/>
      <c r="Q161" s="537"/>
      <c r="R161" s="537"/>
      <c r="S161" s="537"/>
      <c r="T161" s="537"/>
      <c r="U161" s="537"/>
    </row>
    <row r="162" spans="10:21" ht="15">
      <c r="J162" s="537"/>
      <c r="K162" s="537"/>
      <c r="L162" s="537"/>
      <c r="M162" s="537"/>
      <c r="N162" s="537"/>
      <c r="O162" s="537"/>
      <c r="P162" s="537"/>
      <c r="Q162" s="537"/>
      <c r="R162" s="537"/>
      <c r="S162" s="537"/>
      <c r="T162" s="537"/>
      <c r="U162" s="537"/>
    </row>
    <row r="163" spans="10:21" ht="15">
      <c r="J163" s="537"/>
      <c r="K163" s="537"/>
      <c r="L163" s="537"/>
      <c r="M163" s="537"/>
      <c r="N163" s="537"/>
      <c r="O163" s="537"/>
      <c r="P163" s="537"/>
      <c r="Q163" s="537"/>
      <c r="R163" s="537"/>
      <c r="S163" s="537"/>
      <c r="T163" s="537"/>
      <c r="U163" s="537"/>
    </row>
    <row r="164" spans="10:21" ht="15">
      <c r="J164" s="537"/>
      <c r="K164" s="537"/>
      <c r="L164" s="537"/>
      <c r="M164" s="537"/>
      <c r="N164" s="537"/>
      <c r="O164" s="537"/>
      <c r="P164" s="537"/>
      <c r="Q164" s="537"/>
      <c r="R164" s="537"/>
      <c r="S164" s="537"/>
      <c r="T164" s="537"/>
      <c r="U164" s="537"/>
    </row>
    <row r="165" spans="10:21" ht="15">
      <c r="J165" s="537"/>
      <c r="K165" s="537"/>
      <c r="L165" s="537"/>
      <c r="M165" s="537"/>
      <c r="N165" s="537"/>
      <c r="O165" s="537"/>
      <c r="P165" s="537"/>
      <c r="Q165" s="537"/>
      <c r="R165" s="537"/>
      <c r="S165" s="537"/>
      <c r="T165" s="537"/>
      <c r="U165" s="537"/>
    </row>
    <row r="166" spans="10:21" ht="15">
      <c r="J166" s="537"/>
      <c r="K166" s="537"/>
      <c r="L166" s="537"/>
      <c r="M166" s="537"/>
      <c r="N166" s="537"/>
      <c r="O166" s="537"/>
      <c r="P166" s="537"/>
      <c r="Q166" s="537"/>
      <c r="R166" s="537"/>
      <c r="S166" s="537"/>
      <c r="T166" s="537"/>
      <c r="U166" s="537"/>
    </row>
    <row r="167" spans="10:21" ht="15">
      <c r="J167" s="537"/>
      <c r="K167" s="537"/>
      <c r="L167" s="537"/>
      <c r="M167" s="537"/>
      <c r="N167" s="537"/>
      <c r="O167" s="537"/>
      <c r="P167" s="537"/>
      <c r="Q167" s="537"/>
      <c r="R167" s="537"/>
      <c r="S167" s="537"/>
      <c r="T167" s="537"/>
      <c r="U167" s="537"/>
    </row>
    <row r="168" spans="10:21" ht="15">
      <c r="J168" s="537"/>
      <c r="K168" s="537"/>
      <c r="L168" s="537"/>
      <c r="M168" s="537"/>
      <c r="N168" s="537"/>
      <c r="O168" s="537"/>
      <c r="P168" s="537"/>
      <c r="Q168" s="537"/>
      <c r="R168" s="537"/>
      <c r="S168" s="537"/>
      <c r="T168" s="537"/>
      <c r="U168" s="537"/>
    </row>
    <row r="169" spans="10:21" ht="15">
      <c r="J169" s="537"/>
      <c r="K169" s="537"/>
      <c r="L169" s="537"/>
      <c r="M169" s="537"/>
      <c r="N169" s="537"/>
      <c r="O169" s="537"/>
      <c r="P169" s="537"/>
      <c r="Q169" s="537"/>
      <c r="R169" s="537"/>
      <c r="S169" s="537"/>
      <c r="T169" s="537"/>
      <c r="U169" s="537"/>
    </row>
    <row r="170" spans="10:21" ht="15">
      <c r="J170" s="537"/>
      <c r="K170" s="537"/>
      <c r="L170" s="537"/>
      <c r="M170" s="537"/>
      <c r="N170" s="537"/>
      <c r="O170" s="537"/>
      <c r="P170" s="537"/>
      <c r="Q170" s="537"/>
      <c r="R170" s="537"/>
      <c r="S170" s="537"/>
      <c r="T170" s="537"/>
      <c r="U170" s="537"/>
    </row>
    <row r="171" spans="10:21" ht="15">
      <c r="J171" s="537"/>
      <c r="K171" s="537"/>
      <c r="L171" s="537"/>
      <c r="M171" s="537"/>
      <c r="N171" s="537"/>
      <c r="O171" s="537"/>
      <c r="P171" s="537"/>
      <c r="Q171" s="537"/>
      <c r="R171" s="537"/>
      <c r="S171" s="537"/>
      <c r="T171" s="537"/>
      <c r="U171" s="537"/>
    </row>
    <row r="172" spans="10:21" ht="15">
      <c r="J172" s="537"/>
      <c r="K172" s="537"/>
      <c r="L172" s="537"/>
      <c r="M172" s="537"/>
      <c r="N172" s="537"/>
      <c r="O172" s="537"/>
      <c r="P172" s="537"/>
      <c r="Q172" s="537"/>
      <c r="R172" s="537"/>
      <c r="S172" s="537"/>
      <c r="T172" s="537"/>
      <c r="U172" s="537"/>
    </row>
    <row r="173" spans="10:21" ht="15">
      <c r="J173" s="537"/>
      <c r="K173" s="537"/>
      <c r="L173" s="537"/>
      <c r="M173" s="537"/>
      <c r="N173" s="537"/>
      <c r="O173" s="537"/>
      <c r="P173" s="537"/>
      <c r="Q173" s="537"/>
      <c r="R173" s="537"/>
      <c r="S173" s="537"/>
      <c r="T173" s="537"/>
      <c r="U173" s="537"/>
    </row>
    <row r="174" spans="10:21" ht="15">
      <c r="J174" s="537"/>
      <c r="K174" s="537"/>
      <c r="L174" s="537"/>
      <c r="M174" s="537"/>
      <c r="N174" s="537"/>
      <c r="O174" s="537"/>
      <c r="P174" s="537"/>
      <c r="Q174" s="537"/>
      <c r="R174" s="537"/>
      <c r="S174" s="537"/>
      <c r="T174" s="537"/>
      <c r="U174" s="537"/>
    </row>
    <row r="175" spans="10:21" ht="15">
      <c r="J175" s="537"/>
      <c r="K175" s="537"/>
      <c r="L175" s="537"/>
      <c r="M175" s="537"/>
      <c r="N175" s="537"/>
      <c r="O175" s="537"/>
      <c r="P175" s="537"/>
      <c r="Q175" s="537"/>
      <c r="R175" s="537"/>
      <c r="S175" s="537"/>
      <c r="T175" s="537"/>
      <c r="U175" s="537"/>
    </row>
    <row r="176" spans="10:21" ht="15">
      <c r="J176" s="537"/>
      <c r="K176" s="537"/>
      <c r="L176" s="537"/>
      <c r="M176" s="537"/>
      <c r="N176" s="537"/>
      <c r="O176" s="537"/>
      <c r="P176" s="537"/>
      <c r="Q176" s="537"/>
      <c r="R176" s="537"/>
      <c r="S176" s="537"/>
      <c r="T176" s="537"/>
      <c r="U176" s="537"/>
    </row>
    <row r="177" spans="10:21" ht="15">
      <c r="J177" s="537"/>
      <c r="K177" s="537"/>
      <c r="L177" s="537"/>
      <c r="M177" s="537"/>
      <c r="N177" s="537"/>
      <c r="O177" s="537"/>
      <c r="P177" s="537"/>
      <c r="Q177" s="537"/>
      <c r="R177" s="537"/>
      <c r="S177" s="537"/>
      <c r="T177" s="537"/>
      <c r="U177" s="537"/>
    </row>
    <row r="178" spans="10:21" ht="15">
      <c r="J178" s="537"/>
      <c r="K178" s="537"/>
      <c r="L178" s="537"/>
      <c r="M178" s="537"/>
      <c r="N178" s="537"/>
      <c r="O178" s="537"/>
      <c r="P178" s="537"/>
      <c r="Q178" s="537"/>
      <c r="R178" s="537"/>
      <c r="S178" s="537"/>
      <c r="T178" s="537"/>
      <c r="U178" s="537"/>
    </row>
    <row r="179" spans="10:21" ht="15">
      <c r="J179" s="537"/>
      <c r="K179" s="537"/>
      <c r="L179" s="537"/>
      <c r="M179" s="537"/>
      <c r="N179" s="537"/>
      <c r="O179" s="537"/>
      <c r="P179" s="537"/>
      <c r="Q179" s="537"/>
      <c r="R179" s="537"/>
      <c r="S179" s="537"/>
      <c r="T179" s="537"/>
      <c r="U179" s="537"/>
    </row>
    <row r="180" spans="10:21" ht="15">
      <c r="J180" s="537"/>
      <c r="K180" s="537"/>
      <c r="L180" s="537"/>
      <c r="M180" s="537"/>
      <c r="N180" s="537"/>
      <c r="O180" s="537"/>
      <c r="P180" s="537"/>
      <c r="Q180" s="537"/>
      <c r="R180" s="537"/>
      <c r="S180" s="537"/>
      <c r="T180" s="537"/>
      <c r="U180" s="537"/>
    </row>
    <row r="181" spans="10:21" ht="15">
      <c r="J181" s="537"/>
      <c r="K181" s="537"/>
      <c r="L181" s="537"/>
      <c r="M181" s="537"/>
      <c r="N181" s="537"/>
      <c r="O181" s="537"/>
      <c r="P181" s="537"/>
      <c r="Q181" s="537"/>
      <c r="R181" s="537"/>
      <c r="S181" s="537"/>
      <c r="T181" s="537"/>
      <c r="U181" s="537"/>
    </row>
    <row r="182" spans="10:21" ht="15">
      <c r="J182" s="537"/>
      <c r="K182" s="537"/>
      <c r="L182" s="537"/>
      <c r="M182" s="537"/>
      <c r="N182" s="537"/>
      <c r="O182" s="537"/>
      <c r="P182" s="537"/>
      <c r="Q182" s="537"/>
      <c r="R182" s="537"/>
      <c r="S182" s="537"/>
      <c r="T182" s="537"/>
      <c r="U182" s="537"/>
    </row>
    <row r="183" spans="10:21" ht="15">
      <c r="J183" s="537"/>
      <c r="K183" s="537"/>
      <c r="L183" s="537"/>
      <c r="M183" s="537"/>
      <c r="N183" s="537"/>
      <c r="O183" s="537"/>
      <c r="P183" s="537"/>
      <c r="Q183" s="537"/>
      <c r="R183" s="537"/>
      <c r="S183" s="537"/>
      <c r="T183" s="537"/>
      <c r="U183" s="537"/>
    </row>
    <row r="184" spans="10:21" ht="15">
      <c r="J184" s="537"/>
      <c r="K184" s="537"/>
      <c r="L184" s="537"/>
      <c r="M184" s="537"/>
      <c r="N184" s="537"/>
      <c r="O184" s="537"/>
      <c r="P184" s="537"/>
      <c r="Q184" s="537"/>
      <c r="R184" s="537"/>
      <c r="S184" s="537"/>
      <c r="T184" s="537"/>
      <c r="U184" s="537"/>
    </row>
    <row r="185" spans="10:21" ht="15">
      <c r="J185" s="537"/>
      <c r="K185" s="537"/>
      <c r="L185" s="537"/>
      <c r="M185" s="537"/>
      <c r="N185" s="537"/>
      <c r="O185" s="537"/>
      <c r="P185" s="537"/>
      <c r="Q185" s="537"/>
      <c r="R185" s="537"/>
      <c r="S185" s="537"/>
      <c r="T185" s="537"/>
      <c r="U185" s="537"/>
    </row>
    <row r="186" spans="10:21" ht="15">
      <c r="J186" s="537"/>
      <c r="K186" s="537"/>
      <c r="L186" s="537"/>
      <c r="M186" s="537"/>
      <c r="N186" s="537"/>
      <c r="O186" s="537"/>
      <c r="P186" s="537"/>
      <c r="Q186" s="537"/>
      <c r="R186" s="537"/>
      <c r="S186" s="537"/>
      <c r="T186" s="537"/>
      <c r="U186" s="537"/>
    </row>
    <row r="187" spans="10:21" ht="15">
      <c r="J187" s="537"/>
      <c r="K187" s="537"/>
      <c r="L187" s="537"/>
      <c r="M187" s="537"/>
      <c r="N187" s="537"/>
      <c r="O187" s="537"/>
      <c r="P187" s="537"/>
      <c r="Q187" s="537"/>
      <c r="R187" s="537"/>
      <c r="S187" s="537"/>
      <c r="T187" s="537"/>
      <c r="U187" s="537"/>
    </row>
    <row r="188" spans="10:21" ht="15">
      <c r="J188" s="537"/>
      <c r="K188" s="537"/>
      <c r="L188" s="537"/>
      <c r="M188" s="537"/>
      <c r="N188" s="537"/>
      <c r="O188" s="537"/>
      <c r="P188" s="537"/>
      <c r="Q188" s="537"/>
      <c r="R188" s="537"/>
      <c r="S188" s="537"/>
      <c r="T188" s="537"/>
      <c r="U188" s="537"/>
    </row>
    <row r="189" spans="10:21" ht="15">
      <c r="J189" s="537"/>
      <c r="K189" s="537"/>
      <c r="L189" s="537"/>
      <c r="M189" s="537"/>
      <c r="N189" s="537"/>
      <c r="O189" s="537"/>
      <c r="P189" s="537"/>
      <c r="Q189" s="537"/>
      <c r="R189" s="537"/>
      <c r="S189" s="537"/>
      <c r="T189" s="537"/>
      <c r="U189" s="537"/>
    </row>
    <row r="190" spans="10:21" ht="15">
      <c r="J190" s="537"/>
      <c r="K190" s="537"/>
      <c r="L190" s="537"/>
      <c r="M190" s="537"/>
      <c r="N190" s="537"/>
      <c r="O190" s="537"/>
      <c r="P190" s="537"/>
      <c r="Q190" s="537"/>
      <c r="R190" s="537"/>
      <c r="S190" s="537"/>
      <c r="T190" s="537"/>
      <c r="U190" s="537"/>
    </row>
    <row r="191" spans="10:21" ht="15">
      <c r="J191" s="537"/>
      <c r="K191" s="537"/>
      <c r="L191" s="537"/>
      <c r="M191" s="537"/>
      <c r="N191" s="537"/>
      <c r="O191" s="537"/>
      <c r="P191" s="537"/>
      <c r="Q191" s="537"/>
      <c r="R191" s="537"/>
      <c r="S191" s="537"/>
      <c r="T191" s="537"/>
      <c r="U191" s="537"/>
    </row>
    <row r="192" spans="10:21" ht="15">
      <c r="J192" s="537"/>
      <c r="K192" s="537"/>
      <c r="L192" s="537"/>
      <c r="M192" s="537"/>
      <c r="N192" s="537"/>
      <c r="O192" s="537"/>
      <c r="P192" s="537"/>
      <c r="Q192" s="537"/>
      <c r="R192" s="537"/>
      <c r="S192" s="537"/>
      <c r="T192" s="537"/>
      <c r="U192" s="537"/>
    </row>
    <row r="193" spans="10:21" ht="15">
      <c r="J193" s="537"/>
      <c r="K193" s="537"/>
      <c r="L193" s="537"/>
      <c r="M193" s="537"/>
      <c r="N193" s="537"/>
      <c r="O193" s="537"/>
      <c r="P193" s="537"/>
      <c r="Q193" s="537"/>
      <c r="R193" s="537"/>
      <c r="S193" s="537"/>
      <c r="T193" s="537"/>
      <c r="U193" s="537"/>
    </row>
    <row r="194" spans="10:21" ht="15">
      <c r="J194" s="537"/>
      <c r="K194" s="537"/>
      <c r="L194" s="537"/>
      <c r="M194" s="537"/>
      <c r="N194" s="537"/>
      <c r="O194" s="537"/>
      <c r="P194" s="537"/>
      <c r="Q194" s="537"/>
      <c r="R194" s="537"/>
      <c r="S194" s="537"/>
      <c r="T194" s="537"/>
      <c r="U194" s="537"/>
    </row>
    <row r="195" spans="10:21" ht="15">
      <c r="J195" s="537"/>
      <c r="K195" s="537"/>
      <c r="L195" s="537"/>
      <c r="M195" s="537"/>
      <c r="N195" s="537"/>
      <c r="O195" s="537"/>
      <c r="P195" s="537"/>
      <c r="Q195" s="537"/>
      <c r="R195" s="537"/>
      <c r="S195" s="537"/>
      <c r="T195" s="537"/>
      <c r="U195" s="537"/>
    </row>
    <row r="196" spans="10:21" ht="15">
      <c r="J196" s="537"/>
      <c r="K196" s="537"/>
      <c r="L196" s="537"/>
      <c r="M196" s="537"/>
      <c r="N196" s="537"/>
      <c r="O196" s="537"/>
      <c r="P196" s="537"/>
      <c r="Q196" s="537"/>
      <c r="R196" s="537"/>
      <c r="S196" s="537"/>
      <c r="T196" s="537"/>
      <c r="U196" s="537"/>
    </row>
    <row r="197" spans="10:21" ht="15">
      <c r="J197" s="537"/>
      <c r="K197" s="537"/>
      <c r="L197" s="537"/>
      <c r="M197" s="537"/>
      <c r="N197" s="537"/>
      <c r="O197" s="537"/>
      <c r="P197" s="537"/>
      <c r="Q197" s="537"/>
      <c r="R197" s="537"/>
      <c r="S197" s="537"/>
      <c r="T197" s="537"/>
      <c r="U197" s="537"/>
    </row>
    <row r="198" spans="10:21" ht="15">
      <c r="J198" s="537"/>
      <c r="K198" s="537"/>
      <c r="L198" s="537"/>
      <c r="M198" s="537"/>
      <c r="N198" s="537"/>
      <c r="O198" s="537"/>
      <c r="P198" s="537"/>
      <c r="Q198" s="537"/>
      <c r="R198" s="537"/>
      <c r="S198" s="537"/>
      <c r="T198" s="537"/>
      <c r="U198" s="537"/>
    </row>
    <row r="199" spans="10:21" ht="15">
      <c r="J199" s="537"/>
      <c r="K199" s="537"/>
      <c r="L199" s="537"/>
      <c r="M199" s="537"/>
      <c r="N199" s="537"/>
      <c r="O199" s="537"/>
      <c r="P199" s="537"/>
      <c r="Q199" s="537"/>
      <c r="R199" s="537"/>
      <c r="S199" s="537"/>
      <c r="T199" s="537"/>
      <c r="U199" s="537"/>
    </row>
    <row r="200" spans="10:21" ht="15">
      <c r="J200" s="537"/>
      <c r="K200" s="537"/>
      <c r="L200" s="537"/>
      <c r="M200" s="537"/>
      <c r="N200" s="537"/>
      <c r="O200" s="537"/>
      <c r="P200" s="537"/>
      <c r="Q200" s="537"/>
      <c r="R200" s="537"/>
      <c r="S200" s="537"/>
      <c r="T200" s="537"/>
      <c r="U200" s="537"/>
    </row>
    <row r="201" spans="10:21" ht="15">
      <c r="J201" s="537"/>
      <c r="K201" s="537"/>
      <c r="L201" s="537"/>
      <c r="M201" s="537"/>
      <c r="N201" s="537"/>
      <c r="O201" s="537"/>
      <c r="P201" s="537"/>
      <c r="Q201" s="537"/>
      <c r="R201" s="537"/>
      <c r="S201" s="537"/>
      <c r="T201" s="537"/>
      <c r="U201" s="537"/>
    </row>
    <row r="202" spans="10:21" ht="15">
      <c r="J202" s="537"/>
      <c r="K202" s="537"/>
      <c r="L202" s="537"/>
      <c r="M202" s="537"/>
      <c r="N202" s="537"/>
      <c r="O202" s="537"/>
      <c r="P202" s="537"/>
      <c r="Q202" s="537"/>
      <c r="R202" s="537"/>
      <c r="S202" s="537"/>
      <c r="T202" s="537"/>
      <c r="U202" s="537"/>
    </row>
    <row r="203" spans="10:21" ht="15">
      <c r="J203" s="537"/>
      <c r="K203" s="537"/>
      <c r="L203" s="537"/>
      <c r="M203" s="537"/>
      <c r="N203" s="537"/>
      <c r="O203" s="537"/>
      <c r="P203" s="537"/>
      <c r="Q203" s="537"/>
      <c r="R203" s="537"/>
      <c r="S203" s="537"/>
      <c r="T203" s="537"/>
      <c r="U203" s="537"/>
    </row>
    <row r="204" spans="10:21" ht="15">
      <c r="J204" s="537"/>
      <c r="K204" s="537"/>
      <c r="L204" s="537"/>
      <c r="M204" s="537"/>
      <c r="N204" s="537"/>
      <c r="O204" s="537"/>
      <c r="P204" s="537"/>
      <c r="Q204" s="537"/>
      <c r="R204" s="537"/>
      <c r="S204" s="537"/>
      <c r="T204" s="537"/>
      <c r="U204" s="537"/>
    </row>
    <row r="205" spans="10:21" ht="15">
      <c r="J205" s="537"/>
      <c r="K205" s="537"/>
      <c r="L205" s="537"/>
      <c r="M205" s="537"/>
      <c r="N205" s="537"/>
      <c r="O205" s="537"/>
      <c r="P205" s="537"/>
      <c r="Q205" s="537"/>
      <c r="R205" s="537"/>
      <c r="S205" s="537"/>
      <c r="T205" s="537"/>
      <c r="U205" s="537"/>
    </row>
    <row r="206" spans="10:21" ht="15">
      <c r="J206" s="537"/>
      <c r="K206" s="537"/>
      <c r="L206" s="537"/>
      <c r="M206" s="537"/>
      <c r="N206" s="537"/>
      <c r="O206" s="537"/>
      <c r="P206" s="537"/>
      <c r="Q206" s="537"/>
      <c r="R206" s="537"/>
      <c r="S206" s="537"/>
      <c r="T206" s="537"/>
      <c r="U206" s="537"/>
    </row>
    <row r="207" spans="10:21" ht="15">
      <c r="J207" s="537"/>
      <c r="K207" s="537"/>
      <c r="L207" s="537"/>
      <c r="M207" s="537"/>
      <c r="N207" s="537"/>
      <c r="O207" s="537"/>
      <c r="P207" s="537"/>
      <c r="Q207" s="537"/>
      <c r="R207" s="537"/>
      <c r="S207" s="537"/>
      <c r="T207" s="537"/>
      <c r="U207" s="537"/>
    </row>
    <row r="208" spans="10:21" ht="15">
      <c r="J208" s="537"/>
      <c r="K208" s="537"/>
      <c r="L208" s="537"/>
      <c r="M208" s="537"/>
      <c r="N208" s="537"/>
      <c r="O208" s="537"/>
      <c r="P208" s="537"/>
      <c r="Q208" s="537"/>
      <c r="R208" s="537"/>
      <c r="S208" s="537"/>
      <c r="T208" s="537"/>
      <c r="U208" s="537"/>
    </row>
    <row r="209" spans="10:21" ht="15">
      <c r="J209" s="537"/>
      <c r="K209" s="537"/>
      <c r="L209" s="537"/>
      <c r="M209" s="537"/>
      <c r="N209" s="537"/>
      <c r="O209" s="537"/>
      <c r="P209" s="537"/>
      <c r="Q209" s="537"/>
      <c r="R209" s="537"/>
      <c r="S209" s="537"/>
      <c r="T209" s="537"/>
      <c r="U209" s="537"/>
    </row>
    <row r="210" spans="10:21" ht="15">
      <c r="J210" s="537"/>
      <c r="K210" s="537"/>
      <c r="L210" s="537"/>
      <c r="M210" s="537"/>
      <c r="N210" s="537"/>
      <c r="O210" s="537"/>
      <c r="P210" s="537"/>
      <c r="Q210" s="537"/>
      <c r="R210" s="537"/>
      <c r="S210" s="537"/>
      <c r="T210" s="537"/>
      <c r="U210" s="537"/>
    </row>
    <row r="211" spans="10:21" ht="15">
      <c r="J211" s="537"/>
      <c r="K211" s="537"/>
      <c r="L211" s="537"/>
      <c r="M211" s="537"/>
      <c r="N211" s="537"/>
      <c r="O211" s="537"/>
      <c r="P211" s="537"/>
      <c r="Q211" s="537"/>
      <c r="R211" s="537"/>
      <c r="S211" s="537"/>
      <c r="T211" s="537"/>
      <c r="U211" s="537"/>
    </row>
    <row r="212" spans="10:21" ht="15">
      <c r="J212" s="537"/>
      <c r="K212" s="537"/>
      <c r="L212" s="537"/>
      <c r="M212" s="537"/>
      <c r="N212" s="537"/>
      <c r="O212" s="537"/>
      <c r="P212" s="537"/>
      <c r="Q212" s="537"/>
      <c r="R212" s="537"/>
      <c r="S212" s="537"/>
      <c r="T212" s="537"/>
      <c r="U212" s="537"/>
    </row>
    <row r="213" spans="10:21" ht="15">
      <c r="J213" s="537"/>
      <c r="K213" s="537"/>
      <c r="L213" s="537"/>
      <c r="M213" s="537"/>
      <c r="N213" s="537"/>
      <c r="O213" s="537"/>
      <c r="P213" s="537"/>
      <c r="Q213" s="537"/>
      <c r="R213" s="537"/>
      <c r="S213" s="537"/>
      <c r="T213" s="537"/>
      <c r="U213" s="537"/>
    </row>
    <row r="214" spans="10:21" ht="15">
      <c r="J214" s="537"/>
      <c r="K214" s="537"/>
      <c r="L214" s="537"/>
      <c r="M214" s="537"/>
      <c r="N214" s="537"/>
      <c r="O214" s="537"/>
      <c r="P214" s="537"/>
      <c r="Q214" s="537"/>
      <c r="R214" s="537"/>
      <c r="S214" s="537"/>
      <c r="T214" s="537"/>
      <c r="U214" s="537"/>
    </row>
    <row r="215" spans="10:21" ht="15">
      <c r="J215" s="537"/>
      <c r="K215" s="537"/>
      <c r="L215" s="537"/>
      <c r="M215" s="537"/>
      <c r="N215" s="537"/>
      <c r="O215" s="537"/>
      <c r="P215" s="537"/>
      <c r="Q215" s="537"/>
      <c r="R215" s="537"/>
      <c r="S215" s="537"/>
      <c r="T215" s="537"/>
      <c r="U215" s="537"/>
    </row>
    <row r="216" spans="10:21" ht="15">
      <c r="J216" s="537"/>
      <c r="K216" s="537"/>
      <c r="L216" s="537"/>
      <c r="M216" s="537"/>
      <c r="N216" s="537"/>
      <c r="O216" s="537"/>
      <c r="P216" s="537"/>
      <c r="Q216" s="537"/>
      <c r="R216" s="537"/>
      <c r="S216" s="537"/>
      <c r="T216" s="537"/>
      <c r="U216" s="537"/>
    </row>
    <row r="217" spans="10:21" ht="15">
      <c r="J217" s="537"/>
      <c r="K217" s="537"/>
      <c r="L217" s="537"/>
      <c r="M217" s="537"/>
      <c r="N217" s="537"/>
      <c r="O217" s="537"/>
      <c r="P217" s="537"/>
      <c r="Q217" s="537"/>
      <c r="R217" s="537"/>
      <c r="S217" s="537"/>
      <c r="T217" s="537"/>
      <c r="U217" s="537"/>
    </row>
    <row r="218" spans="10:21" ht="15">
      <c r="J218" s="537"/>
      <c r="K218" s="537"/>
      <c r="L218" s="537"/>
      <c r="M218" s="537"/>
      <c r="N218" s="537"/>
      <c r="O218" s="537"/>
      <c r="P218" s="537"/>
      <c r="Q218" s="537"/>
      <c r="R218" s="537"/>
      <c r="S218" s="537"/>
      <c r="T218" s="537"/>
      <c r="U218" s="537"/>
    </row>
    <row r="219" spans="10:21" ht="15">
      <c r="J219" s="537"/>
      <c r="K219" s="537"/>
      <c r="L219" s="537"/>
      <c r="M219" s="537"/>
      <c r="N219" s="537"/>
      <c r="O219" s="537"/>
      <c r="P219" s="537"/>
      <c r="Q219" s="537"/>
      <c r="R219" s="537"/>
      <c r="S219" s="537"/>
      <c r="T219" s="537"/>
      <c r="U219" s="537"/>
    </row>
    <row r="220" spans="10:21" ht="15">
      <c r="J220" s="537"/>
      <c r="K220" s="537"/>
      <c r="L220" s="537"/>
      <c r="M220" s="537"/>
      <c r="N220" s="537"/>
      <c r="O220" s="537"/>
      <c r="P220" s="537"/>
      <c r="Q220" s="537"/>
      <c r="R220" s="537"/>
      <c r="S220" s="537"/>
      <c r="T220" s="537"/>
      <c r="U220" s="537"/>
    </row>
    <row r="221" spans="10:21" ht="15">
      <c r="J221" s="537"/>
      <c r="K221" s="537"/>
      <c r="L221" s="537"/>
      <c r="M221" s="537"/>
      <c r="N221" s="537"/>
      <c r="O221" s="537"/>
      <c r="P221" s="537"/>
      <c r="Q221" s="537"/>
      <c r="R221" s="537"/>
      <c r="S221" s="537"/>
      <c r="T221" s="537"/>
      <c r="U221" s="537"/>
    </row>
    <row r="222" spans="10:21" ht="15">
      <c r="J222" s="537"/>
      <c r="K222" s="537"/>
      <c r="L222" s="537"/>
      <c r="M222" s="537"/>
      <c r="N222" s="537"/>
      <c r="O222" s="537"/>
      <c r="P222" s="537"/>
      <c r="Q222" s="537"/>
      <c r="R222" s="537"/>
      <c r="S222" s="537"/>
      <c r="T222" s="537"/>
      <c r="U222" s="537"/>
    </row>
    <row r="223" spans="10:21" ht="15">
      <c r="J223" s="537"/>
      <c r="K223" s="537"/>
      <c r="L223" s="537"/>
      <c r="M223" s="537"/>
      <c r="N223" s="537"/>
      <c r="O223" s="537"/>
      <c r="P223" s="537"/>
      <c r="Q223" s="537"/>
      <c r="R223" s="537"/>
      <c r="S223" s="537"/>
      <c r="T223" s="537"/>
      <c r="U223" s="537"/>
    </row>
    <row r="224" spans="10:21" ht="15">
      <c r="J224" s="537"/>
      <c r="K224" s="537"/>
      <c r="L224" s="537"/>
      <c r="M224" s="537"/>
      <c r="N224" s="537"/>
      <c r="O224" s="537"/>
      <c r="P224" s="537"/>
      <c r="Q224" s="537"/>
      <c r="R224" s="537"/>
      <c r="S224" s="537"/>
      <c r="T224" s="537"/>
      <c r="U224" s="537"/>
    </row>
    <row r="225" spans="10:21" ht="15">
      <c r="J225" s="537"/>
      <c r="K225" s="537"/>
      <c r="L225" s="537"/>
      <c r="M225" s="537"/>
      <c r="N225" s="537"/>
      <c r="O225" s="537"/>
      <c r="P225" s="537"/>
      <c r="Q225" s="537"/>
      <c r="R225" s="537"/>
      <c r="S225" s="537"/>
      <c r="T225" s="537"/>
      <c r="U225" s="537"/>
    </row>
    <row r="226" spans="10:21" ht="15">
      <c r="J226" s="537"/>
      <c r="K226" s="537"/>
      <c r="L226" s="537"/>
      <c r="M226" s="537"/>
      <c r="N226" s="537"/>
      <c r="O226" s="537"/>
      <c r="P226" s="537"/>
      <c r="Q226" s="537"/>
      <c r="R226" s="537"/>
      <c r="S226" s="537"/>
      <c r="T226" s="537"/>
      <c r="U226" s="537"/>
    </row>
    <row r="227" spans="10:21" ht="15">
      <c r="J227" s="537"/>
      <c r="K227" s="537"/>
      <c r="L227" s="537"/>
      <c r="M227" s="537"/>
      <c r="N227" s="537"/>
      <c r="O227" s="537"/>
      <c r="P227" s="537"/>
      <c r="Q227" s="537"/>
      <c r="R227" s="537"/>
      <c r="S227" s="537"/>
      <c r="T227" s="537"/>
      <c r="U227" s="537"/>
    </row>
    <row r="228" spans="10:21" ht="15">
      <c r="J228" s="537"/>
      <c r="K228" s="537"/>
      <c r="L228" s="537"/>
      <c r="M228" s="537"/>
      <c r="N228" s="537"/>
      <c r="O228" s="537"/>
      <c r="P228" s="537"/>
      <c r="Q228" s="537"/>
      <c r="R228" s="537"/>
      <c r="S228" s="537"/>
      <c r="T228" s="537"/>
      <c r="U228" s="537"/>
    </row>
    <row r="229" spans="10:21" ht="15">
      <c r="J229" s="537"/>
      <c r="K229" s="537"/>
      <c r="L229" s="537"/>
      <c r="M229" s="537"/>
      <c r="N229" s="537"/>
      <c r="O229" s="537"/>
      <c r="P229" s="537"/>
      <c r="Q229" s="537"/>
      <c r="R229" s="537"/>
      <c r="S229" s="537"/>
      <c r="T229" s="537"/>
      <c r="U229" s="537"/>
    </row>
    <row r="230" spans="10:21" ht="15">
      <c r="J230" s="537"/>
      <c r="K230" s="537"/>
      <c r="L230" s="537"/>
      <c r="M230" s="537"/>
      <c r="N230" s="537"/>
      <c r="O230" s="537"/>
      <c r="P230" s="537"/>
      <c r="Q230" s="537"/>
      <c r="R230" s="537"/>
      <c r="S230" s="537"/>
      <c r="T230" s="537"/>
      <c r="U230" s="537"/>
    </row>
    <row r="231" spans="10:21" ht="15">
      <c r="J231" s="537"/>
      <c r="K231" s="537"/>
      <c r="L231" s="537"/>
      <c r="M231" s="537"/>
      <c r="N231" s="537"/>
      <c r="O231" s="537"/>
      <c r="P231" s="537"/>
      <c r="Q231" s="537"/>
      <c r="R231" s="537"/>
      <c r="S231" s="537"/>
      <c r="T231" s="537"/>
      <c r="U231" s="537"/>
    </row>
    <row r="232" spans="10:21" ht="15">
      <c r="J232" s="537"/>
      <c r="K232" s="537"/>
      <c r="L232" s="537"/>
      <c r="M232" s="537"/>
      <c r="N232" s="537"/>
      <c r="O232" s="537"/>
      <c r="P232" s="537"/>
      <c r="Q232" s="537"/>
      <c r="R232" s="537"/>
      <c r="S232" s="537"/>
      <c r="T232" s="537"/>
      <c r="U232" s="537"/>
    </row>
    <row r="233" spans="10:21" ht="15">
      <c r="J233" s="537"/>
      <c r="K233" s="537"/>
      <c r="L233" s="537"/>
      <c r="M233" s="537"/>
      <c r="N233" s="537"/>
      <c r="O233" s="537"/>
      <c r="P233" s="537"/>
      <c r="Q233" s="537"/>
      <c r="R233" s="537"/>
      <c r="S233" s="537"/>
      <c r="T233" s="537"/>
      <c r="U233" s="537"/>
    </row>
    <row r="234" spans="10:21" ht="15">
      <c r="J234" s="537"/>
      <c r="K234" s="537"/>
      <c r="L234" s="537"/>
      <c r="M234" s="537"/>
      <c r="N234" s="537"/>
      <c r="O234" s="537"/>
      <c r="P234" s="537"/>
      <c r="Q234" s="537"/>
      <c r="R234" s="537"/>
      <c r="S234" s="537"/>
      <c r="T234" s="537"/>
      <c r="U234" s="537"/>
    </row>
    <row r="235" spans="10:21" ht="15">
      <c r="J235" s="537"/>
      <c r="K235" s="537"/>
      <c r="L235" s="537"/>
      <c r="M235" s="537"/>
      <c r="N235" s="537"/>
      <c r="O235" s="537"/>
      <c r="P235" s="537"/>
      <c r="Q235" s="537"/>
      <c r="R235" s="537"/>
      <c r="S235" s="537"/>
      <c r="T235" s="537"/>
      <c r="U235" s="537"/>
    </row>
    <row r="236" spans="10:21" ht="15">
      <c r="J236" s="537"/>
      <c r="K236" s="537"/>
      <c r="L236" s="537"/>
      <c r="M236" s="537"/>
      <c r="N236" s="537"/>
      <c r="O236" s="537"/>
      <c r="P236" s="537"/>
      <c r="Q236" s="537"/>
      <c r="R236" s="537"/>
      <c r="S236" s="537"/>
      <c r="T236" s="537"/>
      <c r="U236" s="537"/>
    </row>
    <row r="237" spans="10:21" ht="15">
      <c r="J237" s="537"/>
      <c r="K237" s="537"/>
      <c r="L237" s="537"/>
      <c r="M237" s="537"/>
      <c r="N237" s="537"/>
      <c r="O237" s="537"/>
      <c r="P237" s="537"/>
      <c r="Q237" s="537"/>
      <c r="R237" s="537"/>
      <c r="S237" s="537"/>
      <c r="T237" s="537"/>
      <c r="U237" s="537"/>
    </row>
    <row r="238" spans="10:21" ht="15">
      <c r="J238" s="537"/>
      <c r="K238" s="537"/>
      <c r="L238" s="537"/>
      <c r="M238" s="537"/>
      <c r="N238" s="537"/>
      <c r="O238" s="537"/>
      <c r="P238" s="537"/>
      <c r="Q238" s="537"/>
      <c r="R238" s="537"/>
      <c r="S238" s="537"/>
      <c r="T238" s="537"/>
      <c r="U238" s="537"/>
    </row>
    <row r="239" spans="10:21" ht="15">
      <c r="J239" s="537"/>
      <c r="K239" s="537"/>
      <c r="L239" s="537"/>
      <c r="M239" s="537"/>
      <c r="N239" s="537"/>
      <c r="O239" s="537"/>
      <c r="P239" s="537"/>
      <c r="Q239" s="537"/>
      <c r="R239" s="537"/>
      <c r="S239" s="537"/>
      <c r="T239" s="537"/>
      <c r="U239" s="537"/>
    </row>
    <row r="240" spans="10:21" ht="15">
      <c r="J240" s="537"/>
      <c r="K240" s="537"/>
      <c r="L240" s="537"/>
      <c r="M240" s="537"/>
      <c r="N240" s="537"/>
      <c r="O240" s="537"/>
      <c r="P240" s="537"/>
      <c r="Q240" s="537"/>
      <c r="R240" s="537"/>
      <c r="S240" s="537"/>
      <c r="T240" s="537"/>
      <c r="U240" s="537"/>
    </row>
    <row r="241" spans="10:21" ht="15">
      <c r="J241" s="537"/>
      <c r="K241" s="537"/>
      <c r="L241" s="537"/>
      <c r="M241" s="537"/>
      <c r="N241" s="537"/>
      <c r="O241" s="537"/>
      <c r="P241" s="537"/>
      <c r="Q241" s="537"/>
      <c r="R241" s="537"/>
      <c r="S241" s="537"/>
      <c r="T241" s="537"/>
      <c r="U241" s="537"/>
    </row>
    <row r="242" spans="10:21" ht="15">
      <c r="J242" s="537"/>
      <c r="K242" s="537"/>
      <c r="L242" s="537"/>
      <c r="M242" s="537"/>
      <c r="N242" s="537"/>
      <c r="O242" s="537"/>
      <c r="P242" s="537"/>
      <c r="Q242" s="537"/>
      <c r="R242" s="537"/>
      <c r="S242" s="537"/>
      <c r="T242" s="537"/>
      <c r="U242" s="537"/>
    </row>
    <row r="243" spans="10:21" ht="15">
      <c r="J243" s="537"/>
      <c r="K243" s="537"/>
      <c r="L243" s="537"/>
      <c r="M243" s="537"/>
      <c r="N243" s="537"/>
      <c r="O243" s="537"/>
      <c r="P243" s="537"/>
      <c r="Q243" s="537"/>
      <c r="R243" s="537"/>
      <c r="S243" s="537"/>
      <c r="T243" s="537"/>
      <c r="U243" s="537"/>
    </row>
    <row r="244" spans="10:21" ht="15">
      <c r="J244" s="537"/>
      <c r="K244" s="537"/>
      <c r="L244" s="537"/>
      <c r="M244" s="537"/>
      <c r="N244" s="537"/>
      <c r="O244" s="537"/>
      <c r="P244" s="537"/>
      <c r="Q244" s="537"/>
      <c r="R244" s="537"/>
      <c r="S244" s="537"/>
      <c r="T244" s="537"/>
      <c r="U244" s="537"/>
    </row>
    <row r="245" spans="10:21" ht="15">
      <c r="J245" s="537"/>
      <c r="K245" s="537"/>
      <c r="L245" s="537"/>
      <c r="M245" s="537"/>
      <c r="N245" s="537"/>
      <c r="O245" s="537"/>
      <c r="P245" s="537"/>
      <c r="Q245" s="537"/>
      <c r="R245" s="537"/>
      <c r="S245" s="537"/>
      <c r="T245" s="537"/>
      <c r="U245" s="537"/>
    </row>
    <row r="246" spans="10:21" ht="15">
      <c r="J246" s="537"/>
      <c r="K246" s="537"/>
      <c r="L246" s="537"/>
      <c r="M246" s="537"/>
      <c r="N246" s="537"/>
      <c r="O246" s="537"/>
      <c r="P246" s="537"/>
      <c r="Q246" s="537"/>
      <c r="R246" s="537"/>
      <c r="S246" s="537"/>
      <c r="T246" s="537"/>
      <c r="U246" s="537"/>
    </row>
    <row r="247" spans="10:21" ht="15">
      <c r="J247" s="537"/>
      <c r="K247" s="537"/>
      <c r="L247" s="537"/>
      <c r="M247" s="537"/>
      <c r="N247" s="537"/>
      <c r="O247" s="537"/>
      <c r="P247" s="537"/>
      <c r="Q247" s="537"/>
      <c r="R247" s="537"/>
      <c r="S247" s="537"/>
      <c r="T247" s="537"/>
      <c r="U247" s="537"/>
    </row>
    <row r="248" spans="10:21" ht="15">
      <c r="J248" s="537"/>
      <c r="K248" s="537"/>
      <c r="L248" s="537"/>
      <c r="M248" s="537"/>
      <c r="N248" s="537"/>
      <c r="O248" s="537"/>
      <c r="P248" s="537"/>
      <c r="Q248" s="537"/>
      <c r="R248" s="537"/>
      <c r="S248" s="537"/>
      <c r="T248" s="537"/>
      <c r="U248" s="537"/>
    </row>
    <row r="249" spans="10:21" ht="15">
      <c r="J249" s="537"/>
      <c r="K249" s="537"/>
      <c r="L249" s="537"/>
      <c r="M249" s="537"/>
      <c r="N249" s="537"/>
      <c r="O249" s="537"/>
      <c r="P249" s="537"/>
      <c r="Q249" s="537"/>
      <c r="R249" s="537"/>
      <c r="S249" s="537"/>
      <c r="T249" s="537"/>
      <c r="U249" s="537"/>
    </row>
    <row r="250" spans="10:21" ht="15">
      <c r="J250" s="537"/>
      <c r="K250" s="537"/>
      <c r="L250" s="537"/>
      <c r="M250" s="537"/>
      <c r="N250" s="537"/>
      <c r="O250" s="537"/>
      <c r="P250" s="537"/>
      <c r="Q250" s="537"/>
      <c r="R250" s="537"/>
      <c r="S250" s="537"/>
      <c r="T250" s="537"/>
      <c r="U250" s="537"/>
    </row>
    <row r="251" spans="10:21" ht="15">
      <c r="J251" s="537"/>
      <c r="K251" s="537"/>
      <c r="L251" s="537"/>
      <c r="M251" s="537"/>
      <c r="N251" s="537"/>
      <c r="O251" s="537"/>
      <c r="P251" s="537"/>
      <c r="Q251" s="537"/>
      <c r="R251" s="537"/>
      <c r="S251" s="537"/>
      <c r="T251" s="537"/>
      <c r="U251" s="537"/>
    </row>
    <row r="252" spans="10:21" ht="15">
      <c r="J252" s="537"/>
      <c r="K252" s="537"/>
      <c r="L252" s="537"/>
      <c r="M252" s="537"/>
      <c r="N252" s="537"/>
      <c r="O252" s="537"/>
      <c r="P252" s="537"/>
      <c r="Q252" s="537"/>
      <c r="R252" s="537"/>
      <c r="S252" s="537"/>
      <c r="T252" s="537"/>
      <c r="U252" s="537"/>
    </row>
    <row r="253" spans="10:21" ht="15">
      <c r="J253" s="537"/>
      <c r="K253" s="537"/>
      <c r="L253" s="537"/>
      <c r="M253" s="537"/>
      <c r="N253" s="537"/>
      <c r="O253" s="537"/>
      <c r="P253" s="537"/>
      <c r="Q253" s="537"/>
      <c r="R253" s="537"/>
      <c r="S253" s="537"/>
      <c r="T253" s="537"/>
      <c r="U253" s="537"/>
    </row>
    <row r="254" spans="10:21" ht="15">
      <c r="J254" s="537"/>
      <c r="K254" s="537"/>
      <c r="L254" s="537"/>
      <c r="M254" s="537"/>
      <c r="N254" s="537"/>
      <c r="O254" s="537"/>
      <c r="P254" s="537"/>
      <c r="Q254" s="537"/>
      <c r="R254" s="537"/>
      <c r="S254" s="537"/>
      <c r="T254" s="537"/>
      <c r="U254" s="537"/>
    </row>
    <row r="255" spans="10:21" ht="15">
      <c r="J255" s="537"/>
      <c r="K255" s="537"/>
      <c r="L255" s="537"/>
      <c r="M255" s="537"/>
      <c r="N255" s="537"/>
      <c r="O255" s="537"/>
      <c r="P255" s="537"/>
      <c r="Q255" s="537"/>
      <c r="R255" s="537"/>
      <c r="S255" s="537"/>
      <c r="T255" s="537"/>
      <c r="U255" s="537"/>
    </row>
    <row r="256" spans="10:21" ht="15">
      <c r="J256" s="537"/>
      <c r="K256" s="537"/>
      <c r="L256" s="537"/>
      <c r="M256" s="537"/>
      <c r="N256" s="537"/>
      <c r="O256" s="537"/>
      <c r="P256" s="537"/>
      <c r="Q256" s="537"/>
      <c r="R256" s="537"/>
      <c r="S256" s="537"/>
      <c r="T256" s="537"/>
      <c r="U256" s="537"/>
    </row>
    <row r="257" spans="10:21" ht="15">
      <c r="J257" s="537"/>
      <c r="K257" s="537"/>
      <c r="L257" s="537"/>
      <c r="M257" s="537"/>
      <c r="N257" s="537"/>
      <c r="O257" s="537"/>
      <c r="P257" s="537"/>
      <c r="Q257" s="537"/>
      <c r="R257" s="537"/>
      <c r="S257" s="537"/>
      <c r="T257" s="537"/>
      <c r="U257" s="537"/>
    </row>
    <row r="258" spans="10:21" ht="15">
      <c r="J258" s="537"/>
      <c r="K258" s="537"/>
      <c r="L258" s="537"/>
      <c r="M258" s="537"/>
      <c r="N258" s="537"/>
      <c r="O258" s="537"/>
      <c r="P258" s="537"/>
      <c r="Q258" s="537"/>
      <c r="R258" s="537"/>
      <c r="S258" s="537"/>
      <c r="T258" s="537"/>
      <c r="U258" s="537"/>
    </row>
    <row r="259" spans="10:21" ht="15">
      <c r="J259" s="537"/>
      <c r="K259" s="537"/>
      <c r="L259" s="537"/>
      <c r="M259" s="537"/>
      <c r="N259" s="537"/>
      <c r="O259" s="537"/>
      <c r="P259" s="537"/>
      <c r="Q259" s="537"/>
      <c r="R259" s="537"/>
      <c r="S259" s="537"/>
      <c r="T259" s="537"/>
      <c r="U259" s="537"/>
    </row>
    <row r="260" spans="10:21" ht="15">
      <c r="J260" s="537"/>
      <c r="K260" s="537"/>
      <c r="L260" s="537"/>
      <c r="M260" s="537"/>
      <c r="N260" s="537"/>
      <c r="O260" s="537"/>
      <c r="P260" s="537"/>
      <c r="Q260" s="537"/>
      <c r="R260" s="537"/>
      <c r="S260" s="537"/>
      <c r="T260" s="537"/>
      <c r="U260" s="537"/>
    </row>
    <row r="261" spans="10:21" ht="15">
      <c r="J261" s="537"/>
      <c r="K261" s="537"/>
      <c r="L261" s="537"/>
      <c r="M261" s="537"/>
      <c r="N261" s="537"/>
      <c r="O261" s="537"/>
      <c r="P261" s="537"/>
      <c r="Q261" s="537"/>
      <c r="R261" s="537"/>
      <c r="S261" s="537"/>
      <c r="T261" s="537"/>
      <c r="U261" s="537"/>
    </row>
    <row r="262" spans="10:21" ht="15">
      <c r="J262" s="537"/>
      <c r="K262" s="537"/>
      <c r="L262" s="537"/>
      <c r="M262" s="537"/>
      <c r="N262" s="537"/>
      <c r="O262" s="537"/>
      <c r="P262" s="537"/>
      <c r="Q262" s="537"/>
      <c r="R262" s="537"/>
      <c r="S262" s="537"/>
      <c r="T262" s="537"/>
      <c r="U262" s="537"/>
    </row>
    <row r="263" spans="10:21" ht="15">
      <c r="J263" s="537"/>
      <c r="K263" s="537"/>
      <c r="L263" s="537"/>
      <c r="M263" s="537"/>
      <c r="N263" s="537"/>
      <c r="O263" s="537"/>
      <c r="P263" s="537"/>
      <c r="Q263" s="537"/>
      <c r="R263" s="537"/>
      <c r="S263" s="537"/>
      <c r="T263" s="537"/>
      <c r="U263" s="537"/>
    </row>
    <row r="264" spans="10:21" ht="15">
      <c r="J264" s="537"/>
      <c r="K264" s="537"/>
      <c r="L264" s="537"/>
      <c r="M264" s="537"/>
      <c r="N264" s="537"/>
      <c r="O264" s="537"/>
      <c r="P264" s="537"/>
      <c r="Q264" s="537"/>
      <c r="R264" s="537"/>
      <c r="S264" s="537"/>
      <c r="T264" s="537"/>
      <c r="U264" s="537"/>
    </row>
    <row r="265" spans="10:21" ht="15">
      <c r="J265" s="537"/>
      <c r="K265" s="537"/>
      <c r="L265" s="537"/>
      <c r="M265" s="537"/>
      <c r="N265" s="537"/>
      <c r="O265" s="537"/>
      <c r="P265" s="537"/>
      <c r="Q265" s="537"/>
      <c r="R265" s="537"/>
      <c r="S265" s="537"/>
      <c r="T265" s="537"/>
      <c r="U265" s="537"/>
    </row>
    <row r="266" spans="10:21" ht="15">
      <c r="J266" s="537"/>
      <c r="K266" s="537"/>
      <c r="L266" s="537"/>
      <c r="M266" s="537"/>
      <c r="N266" s="537"/>
      <c r="O266" s="537"/>
      <c r="P266" s="537"/>
      <c r="Q266" s="537"/>
      <c r="R266" s="537"/>
      <c r="S266" s="537"/>
      <c r="T266" s="537"/>
      <c r="U266" s="537"/>
    </row>
    <row r="267" spans="10:21" ht="15">
      <c r="J267" s="537"/>
      <c r="K267" s="537"/>
      <c r="L267" s="537"/>
      <c r="M267" s="537"/>
      <c r="N267" s="537"/>
      <c r="O267" s="537"/>
      <c r="P267" s="537"/>
      <c r="Q267" s="537"/>
      <c r="R267" s="537"/>
      <c r="S267" s="537"/>
      <c r="T267" s="537"/>
      <c r="U267" s="537"/>
    </row>
    <row r="268" spans="10:21" ht="15">
      <c r="J268" s="537"/>
      <c r="K268" s="537"/>
      <c r="L268" s="537"/>
      <c r="M268" s="537"/>
      <c r="N268" s="537"/>
      <c r="O268" s="537"/>
      <c r="P268" s="537"/>
      <c r="Q268" s="537"/>
      <c r="R268" s="537"/>
      <c r="S268" s="537"/>
      <c r="T268" s="537"/>
      <c r="U268" s="537"/>
    </row>
    <row r="269" spans="10:21" ht="15">
      <c r="J269" s="537"/>
      <c r="K269" s="537"/>
      <c r="L269" s="537"/>
      <c r="M269" s="537"/>
      <c r="N269" s="537"/>
      <c r="O269" s="537"/>
      <c r="P269" s="537"/>
      <c r="Q269" s="537"/>
      <c r="R269" s="537"/>
      <c r="S269" s="537"/>
      <c r="T269" s="537"/>
      <c r="U269" s="537"/>
    </row>
    <row r="270" spans="10:21" ht="15">
      <c r="J270" s="537"/>
      <c r="K270" s="537"/>
      <c r="L270" s="537"/>
      <c r="M270" s="537"/>
      <c r="N270" s="537"/>
      <c r="O270" s="537"/>
      <c r="P270" s="537"/>
      <c r="Q270" s="537"/>
      <c r="R270" s="537"/>
      <c r="S270" s="537"/>
      <c r="T270" s="537"/>
      <c r="U270" s="537"/>
    </row>
    <row r="271" spans="10:21" ht="15">
      <c r="J271" s="537"/>
      <c r="K271" s="537"/>
      <c r="L271" s="537"/>
      <c r="M271" s="537"/>
      <c r="N271" s="537"/>
      <c r="O271" s="537"/>
      <c r="P271" s="537"/>
      <c r="Q271" s="537"/>
      <c r="R271" s="537"/>
      <c r="S271" s="537"/>
      <c r="T271" s="537"/>
      <c r="U271" s="537"/>
    </row>
    <row r="272" spans="10:21" ht="15">
      <c r="J272" s="537"/>
      <c r="K272" s="537"/>
      <c r="L272" s="537"/>
      <c r="M272" s="537"/>
      <c r="N272" s="537"/>
      <c r="O272" s="537"/>
      <c r="P272" s="537"/>
      <c r="Q272" s="537"/>
      <c r="R272" s="537"/>
      <c r="S272" s="537"/>
      <c r="T272" s="537"/>
      <c r="U272" s="537"/>
    </row>
    <row r="273" spans="10:21" ht="15">
      <c r="J273" s="537"/>
      <c r="K273" s="537"/>
      <c r="L273" s="537"/>
      <c r="M273" s="537"/>
      <c r="N273" s="537"/>
      <c r="O273" s="537"/>
      <c r="P273" s="537"/>
      <c r="Q273" s="537"/>
      <c r="R273" s="537"/>
      <c r="S273" s="537"/>
      <c r="T273" s="537"/>
      <c r="U273" s="537"/>
    </row>
    <row r="274" spans="10:21" ht="15">
      <c r="J274" s="537"/>
      <c r="K274" s="537"/>
      <c r="L274" s="537"/>
      <c r="M274" s="537"/>
      <c r="N274" s="537"/>
      <c r="O274" s="537"/>
      <c r="P274" s="537"/>
      <c r="Q274" s="537"/>
      <c r="R274" s="537"/>
      <c r="S274" s="537"/>
      <c r="T274" s="537"/>
      <c r="U274" s="537"/>
    </row>
    <row r="275" spans="10:21" ht="15">
      <c r="J275" s="537"/>
      <c r="K275" s="537"/>
      <c r="L275" s="537"/>
      <c r="M275" s="537"/>
      <c r="N275" s="537"/>
      <c r="O275" s="537"/>
      <c r="P275" s="537"/>
      <c r="Q275" s="537"/>
      <c r="R275" s="537"/>
      <c r="S275" s="537"/>
      <c r="T275" s="537"/>
      <c r="U275" s="537"/>
    </row>
    <row r="276" spans="10:21" ht="15">
      <c r="J276" s="537"/>
      <c r="K276" s="537"/>
      <c r="L276" s="537"/>
      <c r="M276" s="537"/>
      <c r="N276" s="537"/>
      <c r="O276" s="537"/>
      <c r="P276" s="537"/>
      <c r="Q276" s="537"/>
      <c r="R276" s="537"/>
      <c r="S276" s="537"/>
      <c r="T276" s="537"/>
      <c r="U276" s="537"/>
    </row>
    <row r="277" spans="10:21" ht="15">
      <c r="J277" s="537"/>
      <c r="K277" s="537"/>
      <c r="L277" s="537"/>
      <c r="M277" s="537"/>
      <c r="N277" s="537"/>
      <c r="O277" s="537"/>
      <c r="P277" s="537"/>
      <c r="Q277" s="537"/>
      <c r="R277" s="537"/>
      <c r="S277" s="537"/>
      <c r="T277" s="537"/>
      <c r="U277" s="537"/>
    </row>
    <row r="278" spans="10:21" ht="15">
      <c r="J278" s="537"/>
      <c r="K278" s="537"/>
      <c r="L278" s="537"/>
      <c r="M278" s="537"/>
      <c r="N278" s="537"/>
      <c r="O278" s="537"/>
      <c r="P278" s="537"/>
      <c r="Q278" s="537"/>
      <c r="R278" s="537"/>
      <c r="S278" s="537"/>
      <c r="T278" s="537"/>
      <c r="U278" s="537"/>
    </row>
    <row r="279" spans="10:21" ht="15">
      <c r="J279" s="537"/>
      <c r="K279" s="537"/>
      <c r="L279" s="537"/>
      <c r="M279" s="537"/>
      <c r="N279" s="537"/>
      <c r="O279" s="537"/>
      <c r="P279" s="537"/>
      <c r="Q279" s="537"/>
      <c r="R279" s="537"/>
      <c r="S279" s="537"/>
      <c r="T279" s="537"/>
      <c r="U279" s="537"/>
    </row>
    <row r="280" spans="10:21" ht="15">
      <c r="J280" s="537"/>
      <c r="K280" s="537"/>
      <c r="L280" s="537"/>
      <c r="M280" s="537"/>
      <c r="N280" s="537"/>
      <c r="O280" s="537"/>
      <c r="P280" s="537"/>
      <c r="Q280" s="537"/>
      <c r="R280" s="537"/>
      <c r="S280" s="537"/>
      <c r="T280" s="537"/>
      <c r="U280" s="537"/>
    </row>
  </sheetData>
  <sheetProtection algorithmName="SHA-512" hashValue="XTGuBWxO2sBZRrY+8iT6cVTRWlXlB2AcKIROo7lfFh8YyWqYRdjw6tWRHfgw/wWnnLSPmIBkxeLTBwVAWpxDVA==" saltValue="vDZ/XqFNrwl/uMme+xSU3A==" spinCount="100000" sheet="1" objects="1" scenarios="1" insertHyperlinks="0" pivotTables="0"/>
  <mergeCells count="15">
    <mergeCell ref="C3:G3"/>
    <mergeCell ref="H3:L3"/>
    <mergeCell ref="C13:H13"/>
    <mergeCell ref="C14:H14"/>
    <mergeCell ref="B10:G10"/>
    <mergeCell ref="B12:G12"/>
    <mergeCell ref="B8:H8"/>
    <mergeCell ref="B9:H9"/>
    <mergeCell ref="C15:H15"/>
    <mergeCell ref="C16:H16"/>
    <mergeCell ref="C17:H17"/>
    <mergeCell ref="B5:G5"/>
    <mergeCell ref="C4:H4"/>
    <mergeCell ref="B7:I7"/>
    <mergeCell ref="B6:G6"/>
  </mergeCells>
  <hyperlinks>
    <hyperlink ref="J1" location="'Terms of Use'!A1" display="(C) 2017" xr:uid="{00000000-0004-0000-0300-000000000000}"/>
    <hyperlink ref="C3:G3" r:id="rId1" display="mailto:energycode@energy.wsu.edu" xr:uid="{00000000-0004-0000-0300-000001000000}"/>
  </hyperlinks>
  <pageMargins left="0.7" right="0.7" top="0.75" bottom="0.75" header="0.3" footer="0.3"/>
  <pageSetup orientation="portrait" r:id="rId2"/>
  <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Copyright">
    <tabColor theme="6" tint="0.39997558519241921"/>
  </sheetPr>
  <dimension ref="A1:AF103"/>
  <sheetViews>
    <sheetView showGridLines="0" zoomScaleNormal="100" workbookViewId="0">
      <selection activeCell="C4" sqref="C4"/>
    </sheetView>
  </sheetViews>
  <sheetFormatPr defaultRowHeight="12.75"/>
  <cols>
    <col min="1" max="1" width="3.42578125" customWidth="1"/>
    <col min="2" max="2" width="21.7109375" customWidth="1"/>
    <col min="3" max="3" width="17.7109375" customWidth="1"/>
    <col min="4" max="4" width="13.85546875" customWidth="1"/>
    <col min="5" max="5" width="14.140625" customWidth="1"/>
    <col min="15" max="15" width="29.5703125" customWidth="1"/>
    <col min="16" max="16" width="17.7109375" customWidth="1"/>
    <col min="19" max="19" width="26.85546875" customWidth="1"/>
    <col min="20" max="20" width="20.7109375" customWidth="1"/>
    <col min="21" max="21" width="15.85546875" customWidth="1"/>
  </cols>
  <sheetData>
    <row r="1" spans="1:32" ht="24" customHeight="1">
      <c r="A1" s="80"/>
      <c r="B1" s="82" t="str">
        <f>Initializing!C1</f>
        <v>WSU Code Compliance Calculator  - WSEC 2018 &amp; 2021</v>
      </c>
      <c r="C1" s="81"/>
      <c r="D1" s="80"/>
      <c r="E1" s="80"/>
      <c r="F1" s="80"/>
      <c r="G1" s="420" t="s">
        <v>2392</v>
      </c>
      <c r="H1" s="80"/>
      <c r="I1" s="80"/>
      <c r="J1" s="80"/>
      <c r="K1" s="80"/>
      <c r="L1" s="80"/>
      <c r="M1" s="80"/>
      <c r="N1" s="80"/>
      <c r="O1" s="80"/>
      <c r="P1" s="80"/>
      <c r="Q1" s="80"/>
      <c r="R1" s="80"/>
      <c r="S1" s="80"/>
      <c r="T1" s="80"/>
      <c r="U1" s="80"/>
      <c r="V1" s="80"/>
      <c r="W1" s="80"/>
      <c r="X1" s="80"/>
      <c r="Y1" s="80"/>
      <c r="Z1" s="80"/>
      <c r="AA1" s="80"/>
      <c r="AB1" s="80"/>
      <c r="AC1" s="80"/>
      <c r="AD1" s="80"/>
      <c r="AE1" s="80"/>
      <c r="AF1" s="80"/>
    </row>
    <row r="2" spans="1:32" ht="21.75" customHeight="1">
      <c r="A2" s="590"/>
      <c r="B2" s="590" t="s">
        <v>3272</v>
      </c>
      <c r="C2" s="590"/>
      <c r="D2" s="590"/>
      <c r="E2" s="594"/>
      <c r="F2" s="595"/>
      <c r="G2" s="1130" t="s">
        <v>3197</v>
      </c>
      <c r="H2" s="1130"/>
      <c r="I2" s="1130"/>
      <c r="J2" s="1130"/>
      <c r="K2" s="1130"/>
      <c r="L2" s="1130"/>
      <c r="M2" s="1130"/>
      <c r="N2" s="597"/>
      <c r="O2" s="597"/>
      <c r="P2" s="597"/>
      <c r="Q2" s="597"/>
      <c r="R2" s="597"/>
      <c r="S2" s="597"/>
      <c r="T2" s="595"/>
      <c r="U2" s="595"/>
    </row>
    <row r="3" spans="1:32" ht="18" customHeight="1">
      <c r="A3" s="591"/>
      <c r="B3" s="591" t="s">
        <v>2387</v>
      </c>
      <c r="C3" s="592">
        <v>45951.785555555558</v>
      </c>
      <c r="D3" s="590"/>
      <c r="E3" s="590"/>
      <c r="F3" s="595"/>
      <c r="G3" s="1131" t="s">
        <v>3196</v>
      </c>
      <c r="H3" s="1131"/>
      <c r="I3" s="1131"/>
      <c r="J3" s="1131"/>
      <c r="K3" s="1131"/>
      <c r="L3" s="1131"/>
      <c r="M3" s="597"/>
      <c r="N3" s="597"/>
      <c r="O3" s="597"/>
      <c r="P3" s="597"/>
      <c r="Q3" s="597"/>
      <c r="R3" s="597"/>
      <c r="S3" s="597"/>
      <c r="T3" s="595"/>
      <c r="U3" s="595"/>
    </row>
    <row r="4" spans="1:32" ht="18" customHeight="1">
      <c r="A4" s="591"/>
      <c r="B4" s="591" t="s">
        <v>2386</v>
      </c>
      <c r="C4" s="593">
        <v>2016</v>
      </c>
      <c r="D4" s="590"/>
      <c r="E4" s="590"/>
      <c r="F4" s="595"/>
      <c r="G4" s="1131"/>
      <c r="H4" s="1131"/>
      <c r="I4" s="1131"/>
      <c r="J4" s="1131"/>
      <c r="K4" s="1131"/>
      <c r="L4" s="1131"/>
      <c r="M4" s="597"/>
      <c r="N4" s="597"/>
      <c r="O4" s="597"/>
      <c r="P4" s="597"/>
      <c r="Q4" s="597"/>
      <c r="R4" s="597"/>
      <c r="S4" s="597"/>
      <c r="T4" s="595"/>
      <c r="U4" s="595"/>
    </row>
    <row r="5" spans="1:32" ht="12.75" customHeight="1">
      <c r="A5" s="595"/>
      <c r="B5" s="595"/>
      <c r="C5" s="595"/>
      <c r="D5" s="596"/>
      <c r="E5" s="596"/>
      <c r="F5" s="595"/>
      <c r="G5" s="595"/>
      <c r="H5" s="595"/>
      <c r="I5" s="595"/>
      <c r="J5" s="595"/>
      <c r="K5" s="595"/>
      <c r="L5" s="597"/>
      <c r="M5" s="597"/>
      <c r="N5" s="597"/>
      <c r="O5" s="597"/>
      <c r="P5" s="597"/>
      <c r="Q5" s="597"/>
      <c r="R5" s="597"/>
      <c r="S5" s="597"/>
      <c r="T5" s="595"/>
      <c r="U5" s="595"/>
    </row>
    <row r="6" spans="1:32">
      <c r="A6" s="595"/>
      <c r="B6" s="595"/>
      <c r="C6" s="595"/>
      <c r="D6" s="595"/>
      <c r="E6" s="595"/>
      <c r="F6" s="595"/>
      <c r="G6" s="595"/>
      <c r="H6" s="595"/>
      <c r="I6" s="595"/>
      <c r="J6" s="595"/>
      <c r="K6" s="595"/>
      <c r="L6" s="595"/>
      <c r="M6" s="595"/>
      <c r="N6" s="595"/>
      <c r="O6" s="595"/>
      <c r="P6" s="595"/>
      <c r="Q6" s="595"/>
      <c r="R6" s="595"/>
      <c r="S6" s="595"/>
      <c r="T6" s="595"/>
      <c r="U6" s="595"/>
    </row>
    <row r="7" spans="1:32">
      <c r="A7" s="595"/>
      <c r="B7" s="595"/>
      <c r="C7" s="595"/>
      <c r="D7" s="595"/>
      <c r="E7" s="595"/>
      <c r="F7" s="595"/>
      <c r="G7" s="595"/>
      <c r="H7" s="595"/>
      <c r="I7" s="595"/>
      <c r="J7" s="595"/>
      <c r="K7" s="595"/>
      <c r="L7" s="595"/>
      <c r="M7" s="595"/>
      <c r="N7" s="595"/>
      <c r="O7" s="595"/>
      <c r="P7" s="595"/>
      <c r="Q7" s="595"/>
      <c r="R7" s="595"/>
      <c r="S7" s="595"/>
      <c r="T7" s="595"/>
      <c r="U7" s="595"/>
    </row>
    <row r="8" spans="1:32">
      <c r="A8" s="595"/>
      <c r="B8" s="595"/>
      <c r="C8" s="595"/>
      <c r="D8" s="595"/>
      <c r="E8" s="595"/>
      <c r="F8" s="595"/>
      <c r="G8" s="595"/>
      <c r="H8" s="595"/>
      <c r="I8" s="595"/>
      <c r="J8" s="595"/>
      <c r="K8" s="595"/>
      <c r="L8" s="595"/>
      <c r="M8" s="595"/>
      <c r="N8" s="595"/>
      <c r="O8" s="595"/>
      <c r="P8" s="595"/>
      <c r="Q8" s="595"/>
      <c r="R8" s="595"/>
      <c r="S8" s="595"/>
      <c r="T8" s="595"/>
      <c r="U8" s="595"/>
    </row>
    <row r="9" spans="1:32">
      <c r="A9" s="595"/>
      <c r="B9" s="595"/>
      <c r="C9" s="595"/>
      <c r="D9" s="595"/>
      <c r="E9" s="595"/>
      <c r="F9" s="595"/>
      <c r="G9" s="595"/>
      <c r="H9" s="595"/>
      <c r="I9" s="595"/>
      <c r="J9" s="595"/>
      <c r="K9" s="595"/>
      <c r="L9" s="595"/>
      <c r="M9" s="595"/>
      <c r="N9" s="595"/>
      <c r="O9" s="595"/>
      <c r="P9" s="595"/>
      <c r="Q9" s="595"/>
      <c r="R9" s="595"/>
      <c r="S9" s="595"/>
      <c r="T9" s="595"/>
      <c r="U9" s="595"/>
    </row>
    <row r="10" spans="1:32">
      <c r="A10" s="595"/>
      <c r="B10" s="595"/>
      <c r="C10" s="595"/>
      <c r="D10" s="595"/>
      <c r="E10" s="595"/>
      <c r="F10" s="595"/>
      <c r="G10" s="595"/>
      <c r="H10" s="595"/>
      <c r="I10" s="595"/>
      <c r="J10" s="595"/>
      <c r="K10" s="595"/>
      <c r="L10" s="595"/>
      <c r="M10" s="595"/>
      <c r="N10" s="595"/>
      <c r="O10" s="595"/>
      <c r="P10" s="595"/>
      <c r="Q10" s="595"/>
      <c r="R10" s="595"/>
      <c r="S10" s="595"/>
      <c r="T10" s="595"/>
      <c r="U10" s="595"/>
    </row>
    <row r="11" spans="1:32">
      <c r="A11" s="595"/>
      <c r="B11" s="595"/>
      <c r="C11" s="595"/>
      <c r="D11" s="595"/>
      <c r="E11" s="595"/>
      <c r="F11" s="595"/>
      <c r="G11" s="595"/>
      <c r="H11" s="595"/>
      <c r="I11" s="595"/>
      <c r="J11" s="595"/>
      <c r="K11" s="595"/>
      <c r="L11" s="595"/>
      <c r="M11" s="595"/>
      <c r="N11" s="595"/>
      <c r="O11" s="595"/>
      <c r="P11" s="595"/>
      <c r="Q11" s="595"/>
      <c r="R11" s="595"/>
      <c r="S11" s="595"/>
      <c r="T11" s="595"/>
      <c r="U11" s="595"/>
    </row>
    <row r="12" spans="1:32">
      <c r="A12" s="595"/>
      <c r="B12" s="595"/>
      <c r="C12" s="595"/>
      <c r="D12" s="595"/>
      <c r="E12" s="595"/>
      <c r="F12" s="595"/>
      <c r="G12" s="595"/>
      <c r="H12" s="595"/>
      <c r="I12" s="595"/>
      <c r="J12" s="595"/>
      <c r="K12" s="595"/>
      <c r="L12" s="595"/>
      <c r="M12" s="595"/>
      <c r="N12" s="595"/>
      <c r="O12" s="595"/>
      <c r="P12" s="595"/>
      <c r="Q12" s="595"/>
      <c r="R12" s="595"/>
      <c r="S12" s="595"/>
      <c r="T12" s="595"/>
      <c r="U12" s="595"/>
    </row>
    <row r="13" spans="1:32">
      <c r="A13" s="595"/>
      <c r="B13" s="595"/>
      <c r="C13" s="595"/>
      <c r="D13" s="595"/>
      <c r="E13" s="595"/>
      <c r="F13" s="595"/>
      <c r="G13" s="595"/>
      <c r="H13" s="595"/>
      <c r="I13" s="595"/>
      <c r="J13" s="595"/>
      <c r="K13" s="595"/>
      <c r="L13" s="595"/>
      <c r="M13" s="595"/>
      <c r="N13" s="595"/>
      <c r="O13" s="595"/>
      <c r="P13" s="595"/>
      <c r="Q13" s="595"/>
      <c r="R13" s="595"/>
      <c r="S13" s="595"/>
      <c r="T13" s="595"/>
      <c r="U13" s="595"/>
    </row>
    <row r="14" spans="1:32">
      <c r="A14" s="595"/>
      <c r="B14" s="595"/>
      <c r="C14" s="595"/>
      <c r="D14" s="595"/>
      <c r="E14" s="595"/>
      <c r="F14" s="595"/>
      <c r="G14" s="595"/>
      <c r="H14" s="595"/>
      <c r="I14" s="595"/>
      <c r="J14" s="595"/>
      <c r="K14" s="595"/>
      <c r="L14" s="595"/>
      <c r="M14" s="595"/>
      <c r="N14" s="595"/>
      <c r="O14" s="595"/>
      <c r="P14" s="595"/>
      <c r="Q14" s="595"/>
      <c r="R14" s="595"/>
      <c r="S14" s="595"/>
      <c r="T14" s="595"/>
      <c r="U14" s="595"/>
    </row>
    <row r="15" spans="1:32">
      <c r="A15" s="595"/>
      <c r="B15" s="595"/>
      <c r="C15" s="595"/>
      <c r="D15" s="595"/>
      <c r="E15" s="595"/>
      <c r="F15" s="595"/>
      <c r="G15" s="595"/>
      <c r="H15" s="595"/>
      <c r="I15" s="595"/>
      <c r="J15" s="595"/>
      <c r="K15" s="595"/>
      <c r="L15" s="595"/>
      <c r="M15" s="595"/>
      <c r="N15" s="595"/>
      <c r="O15" s="595"/>
      <c r="P15" s="595"/>
      <c r="Q15" s="595"/>
      <c r="R15" s="595"/>
      <c r="S15" s="595"/>
      <c r="T15" s="595"/>
      <c r="U15" s="595"/>
    </row>
    <row r="16" spans="1:32">
      <c r="A16" s="595"/>
      <c r="B16" s="595"/>
      <c r="C16" s="595"/>
      <c r="D16" s="595"/>
      <c r="E16" s="595"/>
      <c r="F16" s="595"/>
      <c r="G16" s="595"/>
      <c r="H16" s="595"/>
      <c r="I16" s="595"/>
      <c r="J16" s="595"/>
      <c r="K16" s="595"/>
      <c r="L16" s="595"/>
      <c r="M16" s="595"/>
      <c r="N16" s="595"/>
      <c r="O16" s="595"/>
      <c r="P16" s="595"/>
      <c r="Q16" s="595"/>
      <c r="R16" s="595"/>
      <c r="S16" s="595"/>
      <c r="T16" s="595"/>
      <c r="U16" s="595"/>
    </row>
    <row r="17" spans="1:21">
      <c r="A17" s="595"/>
      <c r="B17" s="595"/>
      <c r="C17" s="595"/>
      <c r="D17" s="595"/>
      <c r="E17" s="595"/>
      <c r="F17" s="595"/>
      <c r="G17" s="595"/>
      <c r="H17" s="595"/>
      <c r="I17" s="595"/>
      <c r="J17" s="595"/>
      <c r="K17" s="595"/>
      <c r="L17" s="595"/>
      <c r="M17" s="595"/>
      <c r="N17" s="595"/>
      <c r="O17" s="595"/>
      <c r="P17" s="595"/>
      <c r="Q17" s="595"/>
      <c r="R17" s="595"/>
      <c r="S17" s="595"/>
      <c r="T17" s="595"/>
      <c r="U17" s="595"/>
    </row>
    <row r="18" spans="1:21">
      <c r="A18" s="595"/>
      <c r="B18" s="595"/>
      <c r="C18" s="595"/>
      <c r="D18" s="595"/>
      <c r="E18" s="595"/>
      <c r="F18" s="595"/>
      <c r="G18" s="595"/>
      <c r="H18" s="595"/>
      <c r="I18" s="595"/>
      <c r="J18" s="595"/>
      <c r="K18" s="595"/>
      <c r="L18" s="595"/>
      <c r="M18" s="595"/>
      <c r="N18" s="595"/>
      <c r="O18" s="595"/>
      <c r="P18" s="595"/>
      <c r="Q18" s="595"/>
      <c r="R18" s="595"/>
      <c r="S18" s="595"/>
      <c r="T18" s="595"/>
      <c r="U18" s="595"/>
    </row>
    <row r="19" spans="1:21">
      <c r="A19" s="595"/>
      <c r="B19" s="595"/>
      <c r="C19" s="595"/>
      <c r="D19" s="595"/>
      <c r="E19" s="595"/>
      <c r="F19" s="595"/>
      <c r="G19" s="595"/>
      <c r="H19" s="595"/>
      <c r="I19" s="595"/>
      <c r="J19" s="595"/>
      <c r="K19" s="595"/>
      <c r="L19" s="595"/>
      <c r="M19" s="595"/>
      <c r="N19" s="595"/>
      <c r="O19" s="595"/>
      <c r="P19" s="595"/>
      <c r="Q19" s="595"/>
      <c r="R19" s="595"/>
      <c r="S19" s="595"/>
      <c r="T19" s="595"/>
      <c r="U19" s="595"/>
    </row>
    <row r="20" spans="1:21">
      <c r="A20" s="595"/>
      <c r="B20" s="595"/>
      <c r="C20" s="595"/>
      <c r="D20" s="595"/>
      <c r="E20" s="595"/>
      <c r="F20" s="595"/>
      <c r="G20" s="595"/>
      <c r="H20" s="595"/>
      <c r="I20" s="595"/>
      <c r="J20" s="595"/>
      <c r="K20" s="595"/>
      <c r="L20" s="595"/>
      <c r="M20" s="595"/>
      <c r="N20" s="595"/>
      <c r="O20" s="595"/>
      <c r="P20" s="595"/>
      <c r="Q20" s="595"/>
      <c r="R20" s="595"/>
      <c r="S20" s="595"/>
      <c r="T20" s="595"/>
      <c r="U20" s="595"/>
    </row>
    <row r="21" spans="1:21">
      <c r="A21" s="595"/>
      <c r="B21" s="595"/>
      <c r="C21" s="595"/>
      <c r="D21" s="595"/>
      <c r="E21" s="595"/>
      <c r="F21" s="595"/>
      <c r="G21" s="595"/>
      <c r="H21" s="595"/>
      <c r="I21" s="595"/>
      <c r="J21" s="595"/>
      <c r="K21" s="595"/>
      <c r="L21" s="595"/>
      <c r="M21" s="595"/>
      <c r="N21" s="595"/>
      <c r="O21" s="595"/>
      <c r="P21" s="595"/>
      <c r="Q21" s="595"/>
      <c r="R21" s="595"/>
      <c r="S21" s="595"/>
      <c r="T21" s="595"/>
      <c r="U21" s="595"/>
    </row>
    <row r="22" spans="1:21">
      <c r="A22" s="595"/>
      <c r="B22" s="595"/>
      <c r="C22" s="595"/>
      <c r="D22" s="595"/>
      <c r="E22" s="595"/>
      <c r="F22" s="595"/>
      <c r="G22" s="595"/>
      <c r="H22" s="595"/>
      <c r="I22" s="595"/>
      <c r="J22" s="595"/>
      <c r="K22" s="595"/>
      <c r="L22" s="595"/>
      <c r="M22" s="595"/>
      <c r="N22" s="595"/>
      <c r="O22" s="595"/>
      <c r="P22" s="595"/>
      <c r="Q22" s="595"/>
      <c r="R22" s="595"/>
      <c r="S22" s="595"/>
      <c r="T22" s="595"/>
      <c r="U22" s="595"/>
    </row>
    <row r="23" spans="1:21">
      <c r="A23" s="595"/>
      <c r="B23" s="595"/>
      <c r="C23" s="595"/>
      <c r="D23" s="595"/>
      <c r="E23" s="595"/>
      <c r="F23" s="595"/>
      <c r="G23" s="595"/>
      <c r="H23" s="595"/>
      <c r="I23" s="595"/>
      <c r="J23" s="595"/>
      <c r="K23" s="595"/>
      <c r="L23" s="595"/>
      <c r="M23" s="595"/>
      <c r="N23" s="595"/>
      <c r="O23" s="595"/>
      <c r="P23" s="595"/>
      <c r="Q23" s="595"/>
      <c r="R23" s="595"/>
      <c r="S23" s="595"/>
      <c r="T23" s="595"/>
      <c r="U23" s="595"/>
    </row>
    <row r="24" spans="1:21">
      <c r="A24" s="595"/>
      <c r="B24" s="595"/>
      <c r="C24" s="595"/>
      <c r="D24" s="595"/>
      <c r="E24" s="595"/>
      <c r="F24" s="595"/>
      <c r="G24" s="595"/>
      <c r="H24" s="595"/>
      <c r="I24" s="595"/>
      <c r="J24" s="595"/>
      <c r="K24" s="595"/>
      <c r="L24" s="595"/>
      <c r="M24" s="595"/>
      <c r="N24" s="595"/>
      <c r="O24" s="595"/>
      <c r="P24" s="595"/>
      <c r="Q24" s="595"/>
      <c r="R24" s="595"/>
      <c r="S24" s="595"/>
      <c r="T24" s="595"/>
      <c r="U24" s="595"/>
    </row>
    <row r="25" spans="1:21">
      <c r="A25" s="595"/>
      <c r="B25" s="595"/>
      <c r="C25" s="595"/>
      <c r="D25" s="595"/>
      <c r="E25" s="595"/>
      <c r="F25" s="595"/>
      <c r="G25" s="595"/>
      <c r="H25" s="595"/>
      <c r="I25" s="595"/>
      <c r="J25" s="595"/>
      <c r="K25" s="595"/>
      <c r="L25" s="595"/>
      <c r="M25" s="595"/>
      <c r="N25" s="595"/>
      <c r="O25" s="595"/>
      <c r="P25" s="595"/>
      <c r="Q25" s="595"/>
      <c r="R25" s="595"/>
      <c r="S25" s="595"/>
      <c r="T25" s="595"/>
      <c r="U25" s="595"/>
    </row>
    <row r="26" spans="1:21">
      <c r="A26" s="595"/>
      <c r="B26" s="595"/>
      <c r="C26" s="595"/>
      <c r="D26" s="595"/>
      <c r="E26" s="595"/>
      <c r="F26" s="595"/>
      <c r="G26" s="595"/>
      <c r="H26" s="595"/>
      <c r="I26" s="595"/>
      <c r="J26" s="595"/>
      <c r="K26" s="595"/>
      <c r="L26" s="595"/>
      <c r="M26" s="595"/>
      <c r="N26" s="595"/>
      <c r="O26" s="595"/>
      <c r="P26" s="595"/>
      <c r="Q26" s="595"/>
      <c r="R26" s="595"/>
      <c r="S26" s="595"/>
      <c r="T26" s="595"/>
      <c r="U26" s="595"/>
    </row>
    <row r="27" spans="1:21">
      <c r="A27" s="595"/>
      <c r="B27" s="595"/>
      <c r="C27" s="595"/>
      <c r="D27" s="595"/>
      <c r="E27" s="595"/>
      <c r="F27" s="595"/>
      <c r="G27" s="595"/>
      <c r="H27" s="595"/>
      <c r="I27" s="595"/>
      <c r="J27" s="595"/>
      <c r="K27" s="595"/>
      <c r="L27" s="595"/>
      <c r="M27" s="595"/>
      <c r="N27" s="595"/>
      <c r="O27" s="595"/>
      <c r="P27" s="595"/>
      <c r="Q27" s="595"/>
      <c r="R27" s="595"/>
      <c r="S27" s="595"/>
      <c r="T27" s="595"/>
      <c r="U27" s="595"/>
    </row>
    <row r="28" spans="1:21">
      <c r="A28" s="595"/>
      <c r="B28" s="595"/>
      <c r="C28" s="595"/>
      <c r="D28" s="595"/>
      <c r="E28" s="595"/>
      <c r="F28" s="595"/>
      <c r="G28" s="595"/>
      <c r="H28" s="595"/>
      <c r="I28" s="595"/>
      <c r="J28" s="595"/>
      <c r="K28" s="595"/>
      <c r="L28" s="595"/>
      <c r="M28" s="595"/>
      <c r="N28" s="595"/>
      <c r="O28" s="595"/>
      <c r="P28" s="595"/>
      <c r="Q28" s="595"/>
      <c r="R28" s="595"/>
      <c r="S28" s="595"/>
      <c r="T28" s="595"/>
      <c r="U28" s="595"/>
    </row>
    <row r="29" spans="1:21">
      <c r="A29" s="595"/>
      <c r="B29" s="595"/>
      <c r="C29" s="595"/>
      <c r="D29" s="595"/>
      <c r="E29" s="595"/>
      <c r="F29" s="595"/>
      <c r="G29" s="595"/>
      <c r="H29" s="595"/>
      <c r="I29" s="595"/>
      <c r="J29" s="595"/>
      <c r="K29" s="595"/>
      <c r="L29" s="595"/>
      <c r="M29" s="595"/>
      <c r="N29" s="595"/>
      <c r="O29" s="595"/>
      <c r="P29" s="595"/>
      <c r="Q29" s="595"/>
      <c r="R29" s="595"/>
      <c r="S29" s="595"/>
      <c r="T29" s="595"/>
      <c r="U29" s="595"/>
    </row>
    <row r="30" spans="1:21">
      <c r="A30" s="595"/>
      <c r="B30" s="595"/>
      <c r="C30" s="595"/>
      <c r="D30" s="595"/>
      <c r="E30" s="595"/>
      <c r="F30" s="595"/>
      <c r="G30" s="595"/>
      <c r="H30" s="595"/>
      <c r="I30" s="595"/>
      <c r="J30" s="595"/>
      <c r="K30" s="595"/>
      <c r="L30" s="595"/>
      <c r="M30" s="595"/>
      <c r="N30" s="595"/>
      <c r="O30" s="595"/>
      <c r="P30" s="595"/>
      <c r="Q30" s="595"/>
      <c r="R30" s="595"/>
      <c r="S30" s="595"/>
      <c r="T30" s="595"/>
      <c r="U30" s="595"/>
    </row>
    <row r="31" spans="1:21">
      <c r="A31" s="595"/>
      <c r="B31" s="595"/>
      <c r="C31" s="595"/>
      <c r="D31" s="595"/>
      <c r="E31" s="595"/>
      <c r="F31" s="595"/>
      <c r="G31" s="595"/>
      <c r="H31" s="595"/>
      <c r="I31" s="595"/>
      <c r="J31" s="595"/>
      <c r="K31" s="595"/>
      <c r="L31" s="595"/>
      <c r="M31" s="595"/>
      <c r="N31" s="595"/>
      <c r="O31" s="595"/>
      <c r="P31" s="595"/>
      <c r="Q31" s="595"/>
      <c r="R31" s="595"/>
      <c r="S31" s="595"/>
      <c r="T31" s="595"/>
      <c r="U31" s="595"/>
    </row>
    <row r="32" spans="1:21">
      <c r="A32" s="595"/>
      <c r="B32" s="595"/>
      <c r="C32" s="595"/>
      <c r="D32" s="595"/>
      <c r="E32" s="595"/>
      <c r="F32" s="595"/>
      <c r="G32" s="595"/>
      <c r="H32" s="595"/>
      <c r="I32" s="595"/>
      <c r="J32" s="595"/>
      <c r="K32" s="595"/>
      <c r="L32" s="595"/>
      <c r="M32" s="595"/>
      <c r="N32" s="595"/>
      <c r="O32" s="595"/>
      <c r="P32" s="595"/>
      <c r="Q32" s="595"/>
      <c r="R32" s="595"/>
      <c r="S32" s="595"/>
      <c r="T32" s="595"/>
      <c r="U32" s="595"/>
    </row>
    <row r="33" spans="1:21">
      <c r="A33" s="595"/>
      <c r="B33" s="595"/>
      <c r="C33" s="595"/>
      <c r="D33" s="595"/>
      <c r="E33" s="595"/>
      <c r="F33" s="595"/>
      <c r="G33" s="595"/>
      <c r="H33" s="595"/>
      <c r="I33" s="595"/>
      <c r="J33" s="595"/>
      <c r="K33" s="595"/>
      <c r="L33" s="595"/>
      <c r="M33" s="595"/>
      <c r="N33" s="595"/>
      <c r="O33" s="595"/>
      <c r="P33" s="595"/>
      <c r="Q33" s="595"/>
      <c r="R33" s="595"/>
      <c r="S33" s="595"/>
      <c r="T33" s="595"/>
      <c r="U33" s="595"/>
    </row>
    <row r="34" spans="1:21">
      <c r="A34" s="595"/>
      <c r="B34" s="595"/>
      <c r="C34" s="595"/>
      <c r="D34" s="595"/>
      <c r="E34" s="595"/>
      <c r="F34" s="595"/>
      <c r="G34" s="595"/>
      <c r="H34" s="595"/>
      <c r="I34" s="595"/>
      <c r="J34" s="595"/>
      <c r="K34" s="595"/>
      <c r="L34" s="595"/>
      <c r="M34" s="595"/>
      <c r="N34" s="595"/>
      <c r="O34" s="595"/>
      <c r="P34" s="595"/>
      <c r="Q34" s="595"/>
      <c r="R34" s="595"/>
      <c r="S34" s="595"/>
      <c r="T34" s="595"/>
      <c r="U34" s="595"/>
    </row>
    <row r="35" spans="1:21">
      <c r="A35" s="595"/>
      <c r="B35" s="595"/>
      <c r="C35" s="595"/>
      <c r="D35" s="595"/>
      <c r="E35" s="595"/>
      <c r="F35" s="595"/>
      <c r="G35" s="595"/>
      <c r="H35" s="595"/>
      <c r="I35" s="595"/>
      <c r="J35" s="595"/>
      <c r="K35" s="595"/>
      <c r="L35" s="595"/>
      <c r="M35" s="595"/>
      <c r="N35" s="595"/>
      <c r="O35" s="595"/>
      <c r="P35" s="595"/>
      <c r="Q35" s="595"/>
      <c r="R35" s="595"/>
      <c r="S35" s="595"/>
      <c r="T35" s="595"/>
      <c r="U35" s="595"/>
    </row>
    <row r="36" spans="1:21">
      <c r="A36" s="595"/>
      <c r="B36" s="595"/>
      <c r="C36" s="595"/>
      <c r="D36" s="595"/>
      <c r="E36" s="595"/>
      <c r="F36" s="595"/>
      <c r="G36" s="595"/>
      <c r="H36" s="595"/>
      <c r="I36" s="595"/>
      <c r="J36" s="595"/>
      <c r="K36" s="595"/>
      <c r="L36" s="595"/>
      <c r="M36" s="595"/>
      <c r="N36" s="595"/>
      <c r="O36" s="595"/>
      <c r="P36" s="595"/>
      <c r="Q36" s="595"/>
      <c r="R36" s="595"/>
      <c r="S36" s="595"/>
      <c r="T36" s="595"/>
      <c r="U36" s="595"/>
    </row>
    <row r="37" spans="1:21">
      <c r="A37" s="595"/>
      <c r="B37" s="595"/>
      <c r="C37" s="595"/>
      <c r="D37" s="595"/>
      <c r="E37" s="595"/>
      <c r="F37" s="595"/>
      <c r="G37" s="595"/>
      <c r="H37" s="595"/>
      <c r="I37" s="595"/>
      <c r="J37" s="595"/>
      <c r="K37" s="595"/>
      <c r="L37" s="595"/>
      <c r="M37" s="595"/>
      <c r="N37" s="595"/>
      <c r="O37" s="595"/>
      <c r="P37" s="595"/>
      <c r="Q37" s="595"/>
      <c r="R37" s="595"/>
      <c r="S37" s="595"/>
      <c r="T37" s="595"/>
      <c r="U37" s="595"/>
    </row>
    <row r="38" spans="1:21">
      <c r="A38" s="595"/>
      <c r="B38" s="595"/>
      <c r="C38" s="595"/>
      <c r="D38" s="595"/>
      <c r="E38" s="595"/>
      <c r="F38" s="595"/>
      <c r="G38" s="595"/>
      <c r="H38" s="595"/>
      <c r="I38" s="595"/>
      <c r="J38" s="595"/>
      <c r="K38" s="595"/>
      <c r="L38" s="595"/>
      <c r="M38" s="595"/>
      <c r="N38" s="595"/>
      <c r="O38" s="595"/>
      <c r="P38" s="595"/>
      <c r="Q38" s="595"/>
      <c r="R38" s="595"/>
      <c r="S38" s="595"/>
      <c r="T38" s="595"/>
      <c r="U38" s="595"/>
    </row>
    <row r="39" spans="1:21">
      <c r="A39" s="595"/>
      <c r="B39" s="595"/>
      <c r="C39" s="595"/>
      <c r="D39" s="595"/>
      <c r="E39" s="595"/>
      <c r="F39" s="595"/>
      <c r="G39" s="595"/>
      <c r="H39" s="595"/>
      <c r="I39" s="595"/>
      <c r="J39" s="595"/>
      <c r="K39" s="595"/>
      <c r="L39" s="595"/>
      <c r="M39" s="595"/>
      <c r="N39" s="595"/>
      <c r="O39" s="595"/>
      <c r="P39" s="595"/>
      <c r="Q39" s="595"/>
      <c r="R39" s="595"/>
      <c r="S39" s="595"/>
      <c r="T39" s="595"/>
      <c r="U39" s="595"/>
    </row>
    <row r="40" spans="1:21">
      <c r="A40" s="595"/>
      <c r="B40" s="595"/>
      <c r="C40" s="595"/>
      <c r="D40" s="595"/>
      <c r="E40" s="595"/>
      <c r="F40" s="595"/>
      <c r="G40" s="595"/>
      <c r="H40" s="595"/>
      <c r="I40" s="595"/>
      <c r="J40" s="595"/>
      <c r="K40" s="595"/>
      <c r="L40" s="595"/>
      <c r="M40" s="595"/>
      <c r="N40" s="595"/>
      <c r="O40" s="595"/>
      <c r="P40" s="595"/>
      <c r="Q40" s="595"/>
      <c r="R40" s="595"/>
      <c r="S40" s="595"/>
      <c r="T40" s="595"/>
      <c r="U40" s="595"/>
    </row>
    <row r="41" spans="1:21">
      <c r="A41" s="595"/>
      <c r="B41" s="595"/>
      <c r="C41" s="595"/>
      <c r="D41" s="595"/>
      <c r="E41" s="595"/>
      <c r="F41" s="595"/>
      <c r="G41" s="595"/>
      <c r="H41" s="595"/>
      <c r="I41" s="595"/>
      <c r="J41" s="595"/>
      <c r="K41" s="595"/>
      <c r="L41" s="595"/>
      <c r="M41" s="595"/>
      <c r="N41" s="595"/>
      <c r="O41" s="595"/>
      <c r="P41" s="595"/>
      <c r="Q41" s="595"/>
      <c r="R41" s="595"/>
      <c r="S41" s="595"/>
      <c r="T41" s="595"/>
      <c r="U41" s="595"/>
    </row>
    <row r="42" spans="1:21">
      <c r="A42" s="595"/>
      <c r="B42" s="595"/>
      <c r="C42" s="595"/>
      <c r="D42" s="595"/>
      <c r="E42" s="595"/>
      <c r="F42" s="595"/>
      <c r="G42" s="595"/>
      <c r="H42" s="595"/>
      <c r="I42" s="595"/>
      <c r="J42" s="595"/>
      <c r="K42" s="595"/>
      <c r="L42" s="595"/>
      <c r="M42" s="595"/>
      <c r="N42" s="595"/>
      <c r="O42" s="595"/>
      <c r="P42" s="595"/>
      <c r="Q42" s="595"/>
      <c r="R42" s="595"/>
      <c r="S42" s="595"/>
      <c r="T42" s="595"/>
      <c r="U42" s="595"/>
    </row>
    <row r="43" spans="1:21">
      <c r="A43" s="595"/>
      <c r="B43" s="595"/>
      <c r="C43" s="595"/>
      <c r="D43" s="595"/>
      <c r="E43" s="595"/>
      <c r="F43" s="595"/>
      <c r="G43" s="595"/>
      <c r="H43" s="595"/>
      <c r="I43" s="595"/>
      <c r="J43" s="595"/>
      <c r="K43" s="595"/>
      <c r="L43" s="595"/>
      <c r="M43" s="595"/>
      <c r="N43" s="595"/>
      <c r="O43" s="595"/>
      <c r="P43" s="595"/>
      <c r="Q43" s="595"/>
      <c r="R43" s="595"/>
      <c r="S43" s="595"/>
      <c r="T43" s="595"/>
      <c r="U43" s="595"/>
    </row>
    <row r="44" spans="1:21">
      <c r="A44" s="595"/>
      <c r="B44" s="595"/>
      <c r="C44" s="595"/>
      <c r="D44" s="595"/>
      <c r="E44" s="595"/>
      <c r="F44" s="595"/>
      <c r="G44" s="595"/>
      <c r="H44" s="595"/>
      <c r="I44" s="595"/>
      <c r="J44" s="595"/>
      <c r="K44" s="595"/>
      <c r="L44" s="595"/>
      <c r="M44" s="595"/>
      <c r="N44" s="595"/>
      <c r="O44" s="595"/>
      <c r="P44" s="595"/>
      <c r="Q44" s="595"/>
      <c r="R44" s="595"/>
      <c r="S44" s="595"/>
      <c r="T44" s="595"/>
      <c r="U44" s="595"/>
    </row>
    <row r="71" spans="2:27" hidden="1">
      <c r="L71" s="83"/>
      <c r="M71" s="83"/>
      <c r="N71" s="83"/>
      <c r="O71" s="83"/>
      <c r="P71" s="83"/>
      <c r="Q71" s="83"/>
      <c r="R71" s="83"/>
      <c r="S71" s="83"/>
      <c r="T71" s="83"/>
      <c r="U71" s="83"/>
      <c r="V71" s="83"/>
      <c r="W71" s="83"/>
      <c r="X71" s="83"/>
      <c r="Y71" s="83"/>
      <c r="Z71" s="83"/>
      <c r="AA71" s="83"/>
    </row>
    <row r="72" spans="2:27" hidden="1">
      <c r="B72" s="83"/>
      <c r="C72" s="83"/>
      <c r="D72" s="83"/>
      <c r="E72" s="83"/>
      <c r="F72" s="83"/>
      <c r="G72" s="83"/>
      <c r="H72" s="83"/>
      <c r="I72" s="83"/>
      <c r="J72" s="83"/>
      <c r="K72" s="83"/>
    </row>
    <row r="73" spans="2:27" hidden="1">
      <c r="C73" t="s">
        <v>2045</v>
      </c>
      <c r="D73" s="84" t="s">
        <v>3195</v>
      </c>
    </row>
    <row r="74" spans="2:27" hidden="1">
      <c r="C74" t="s">
        <v>2053</v>
      </c>
      <c r="D74" s="84" t="s">
        <v>2054</v>
      </c>
    </row>
    <row r="75" spans="2:27" hidden="1">
      <c r="C75" s="94" t="s">
        <v>2056</v>
      </c>
      <c r="D75" s="95">
        <v>371753209829</v>
      </c>
    </row>
    <row r="76" spans="2:27" hidden="1"/>
    <row r="77" spans="2:27" hidden="1">
      <c r="C77" s="94" t="s">
        <v>2242</v>
      </c>
      <c r="D77" s="206" t="s">
        <v>2352</v>
      </c>
    </row>
    <row r="78" spans="2:27" hidden="1">
      <c r="C78" s="414" t="s">
        <v>2241</v>
      </c>
      <c r="D78" s="411"/>
    </row>
    <row r="79" spans="2:27" hidden="1"/>
    <row r="80" spans="2:27" hidden="1"/>
    <row r="81" spans="3:8" hidden="1">
      <c r="C81" s="413" t="s">
        <v>2341</v>
      </c>
      <c r="D81" s="409" t="s">
        <v>2247</v>
      </c>
    </row>
    <row r="82" spans="3:8" hidden="1">
      <c r="C82" s="414" t="s">
        <v>2342</v>
      </c>
      <c r="D82" s="410" t="s">
        <v>2248</v>
      </c>
    </row>
    <row r="83" spans="3:8" hidden="1">
      <c r="C83" s="414" t="s">
        <v>2335</v>
      </c>
      <c r="D83" s="415">
        <v>44064</v>
      </c>
    </row>
    <row r="84" spans="3:8" hidden="1">
      <c r="C84" s="414" t="s">
        <v>2336</v>
      </c>
      <c r="D84" s="411" t="s">
        <v>2344</v>
      </c>
      <c r="H84" t="s">
        <v>2343</v>
      </c>
    </row>
    <row r="85" spans="3:8" hidden="1">
      <c r="C85" s="414" t="s">
        <v>2243</v>
      </c>
      <c r="D85" s="410" t="s">
        <v>2249</v>
      </c>
    </row>
    <row r="86" spans="3:8" hidden="1">
      <c r="C86" s="414" t="s">
        <v>2244</v>
      </c>
      <c r="D86" s="410"/>
    </row>
    <row r="87" spans="3:8" hidden="1">
      <c r="C87" s="414" t="s">
        <v>2329</v>
      </c>
      <c r="D87" s="410"/>
    </row>
    <row r="88" spans="3:8" hidden="1">
      <c r="C88" s="414" t="s">
        <v>2330</v>
      </c>
      <c r="D88" s="410"/>
    </row>
    <row r="89" spans="3:8" hidden="1">
      <c r="C89" s="414" t="s">
        <v>2332</v>
      </c>
      <c r="D89" s="410"/>
    </row>
    <row r="90" spans="3:8" hidden="1">
      <c r="C90" s="414" t="s">
        <v>2333</v>
      </c>
      <c r="D90" s="410"/>
    </row>
    <row r="91" spans="3:8" hidden="1">
      <c r="C91" s="414" t="s">
        <v>2246</v>
      </c>
      <c r="D91" s="412" t="s">
        <v>2328</v>
      </c>
    </row>
    <row r="92" spans="3:8" hidden="1">
      <c r="C92" s="414" t="s">
        <v>2245</v>
      </c>
      <c r="D92" s="410"/>
    </row>
    <row r="93" spans="3:8" hidden="1">
      <c r="C93" s="414" t="s">
        <v>2331</v>
      </c>
      <c r="D93" s="410"/>
    </row>
    <row r="94" spans="3:8" hidden="1">
      <c r="C94" s="414" t="s">
        <v>2334</v>
      </c>
      <c r="D94" s="410" t="s">
        <v>2340</v>
      </c>
    </row>
    <row r="95" spans="3:8" hidden="1">
      <c r="C95" s="418" t="s">
        <v>2339</v>
      </c>
      <c r="D95" s="419">
        <v>0</v>
      </c>
    </row>
    <row r="96" spans="3:8" hidden="1"/>
    <row r="97" spans="2:27" hidden="1">
      <c r="C97" s="94"/>
    </row>
    <row r="98" spans="2:27" hidden="1">
      <c r="C98" s="94"/>
    </row>
    <row r="99" spans="2:27" hidden="1">
      <c r="C99" s="94"/>
    </row>
    <row r="100" spans="2:27" hidden="1">
      <c r="C100" s="94"/>
    </row>
    <row r="101" spans="2:27" hidden="1">
      <c r="C101" s="94"/>
    </row>
    <row r="102" spans="2:27" hidden="1">
      <c r="L102" s="83"/>
      <c r="M102" s="83"/>
      <c r="N102" s="83"/>
      <c r="O102" s="83"/>
      <c r="P102" s="83"/>
      <c r="Q102" s="83"/>
      <c r="R102" s="83"/>
      <c r="S102" s="83"/>
      <c r="T102" s="83"/>
      <c r="U102" s="83"/>
      <c r="V102" s="83"/>
      <c r="W102" s="83"/>
      <c r="X102" s="83"/>
      <c r="Y102" s="83"/>
      <c r="Z102" s="83"/>
      <c r="AA102" s="83"/>
    </row>
    <row r="103" spans="2:27" hidden="1">
      <c r="B103" s="83"/>
      <c r="C103" s="194" t="s">
        <v>2208</v>
      </c>
      <c r="D103" s="83"/>
      <c r="E103" s="83"/>
      <c r="F103" s="83"/>
      <c r="G103" s="83"/>
      <c r="H103" s="83"/>
      <c r="I103" s="83"/>
      <c r="J103" s="83"/>
      <c r="K103" s="83"/>
    </row>
  </sheetData>
  <sheetProtection sheet="1" objects="1" scenarios="1" formatCells="0" insertHyperlinks="0" selectLockedCells="1" pivotTables="0"/>
  <mergeCells count="2">
    <mergeCell ref="G2:M2"/>
    <mergeCell ref="G3:L4"/>
  </mergeCells>
  <pageMargins left="0.7" right="0.7" top="0.75" bottom="0.75" header="0.3" footer="0.3"/>
  <pageSetup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ProtectionButton1">
              <controlPr locked="0" defaultSize="0" print="0" autoFill="0" autoPict="0" macro="[0]!ToggleProtectionWithCode">
                <anchor moveWithCells="1">
                  <from>
                    <xdr:col>21</xdr:col>
                    <xdr:colOff>47625</xdr:colOff>
                    <xdr:row>2</xdr:row>
                    <xdr:rowOff>47625</xdr:rowOff>
                  </from>
                  <to>
                    <xdr:col>24</xdr:col>
                    <xdr:colOff>47625</xdr:colOff>
                    <xdr:row>3</xdr:row>
                    <xdr:rowOff>95250</xdr:rowOff>
                  </to>
                </anchor>
              </controlPr>
            </control>
          </mc:Choice>
        </mc:AlternateContent>
        <mc:AlternateContent xmlns:mc="http://schemas.openxmlformats.org/markup-compatibility/2006">
          <mc:Choice Requires="x14">
            <control shapeId="1026" r:id="rId5" name="ProtectionButton1">
              <controlPr locked="0" defaultSize="0" print="0" autoFill="0" autoPict="0" macro="[0]!PrepForSave">
                <anchor moveWithCells="1">
                  <from>
                    <xdr:col>21</xdr:col>
                    <xdr:colOff>57150</xdr:colOff>
                    <xdr:row>1</xdr:row>
                    <xdr:rowOff>38100</xdr:rowOff>
                  </from>
                  <to>
                    <xdr:col>24</xdr:col>
                    <xdr:colOff>57150</xdr:colOff>
                    <xdr:row>2</xdr:row>
                    <xdr:rowOff>38100</xdr:rowOff>
                  </to>
                </anchor>
              </controlPr>
            </control>
          </mc:Choice>
        </mc:AlternateContent>
        <mc:AlternateContent xmlns:mc="http://schemas.openxmlformats.org/markup-compatibility/2006">
          <mc:Choice Requires="x14">
            <control shapeId="1027" r:id="rId6" name="UnhideSheetsButton">
              <controlPr locked="0" defaultSize="0" print="0" autoFill="0" autoPict="0" macro="[0]!Toggle_UnhideAllSheets">
                <anchor moveWithCells="1">
                  <from>
                    <xdr:col>21</xdr:col>
                    <xdr:colOff>57150</xdr:colOff>
                    <xdr:row>5</xdr:row>
                    <xdr:rowOff>28575</xdr:rowOff>
                  </from>
                  <to>
                    <xdr:col>24</xdr:col>
                    <xdr:colOff>66675</xdr:colOff>
                    <xdr:row>7</xdr:row>
                    <xdr:rowOff>0</xdr:rowOff>
                  </to>
                </anchor>
              </controlPr>
            </control>
          </mc:Choice>
        </mc:AlternateContent>
        <mc:AlternateContent xmlns:mc="http://schemas.openxmlformats.org/markup-compatibility/2006">
          <mc:Choice Requires="x14">
            <control shapeId="1028" r:id="rId7" name="ProtectionButton1">
              <controlPr locked="0" defaultSize="0" print="0" autoFill="0" autoPict="0" macro="[0]!AcceptLicenseAgreement">
                <anchor moveWithCells="1">
                  <from>
                    <xdr:col>21</xdr:col>
                    <xdr:colOff>47625</xdr:colOff>
                    <xdr:row>7</xdr:row>
                    <xdr:rowOff>0</xdr:rowOff>
                  </from>
                  <to>
                    <xdr:col>29</xdr:col>
                    <xdr:colOff>323850</xdr:colOff>
                    <xdr:row>9</xdr:row>
                    <xdr:rowOff>28575</xdr:rowOff>
                  </to>
                </anchor>
              </controlPr>
            </control>
          </mc:Choice>
        </mc:AlternateContent>
        <mc:AlternateContent xmlns:mc="http://schemas.openxmlformats.org/markup-compatibility/2006">
          <mc:Choice Requires="x14">
            <control shapeId="1029" r:id="rId8" name="Button 5">
              <controlPr locked="0" defaultSize="0" print="0" autoFill="0" autoPict="0" macro="[0]!ClearMacroMessage">
                <anchor moveWithCells="1">
                  <from>
                    <xdr:col>21</xdr:col>
                    <xdr:colOff>47625</xdr:colOff>
                    <xdr:row>3</xdr:row>
                    <xdr:rowOff>104775</xdr:rowOff>
                  </from>
                  <to>
                    <xdr:col>24</xdr:col>
                    <xdr:colOff>47625</xdr:colOff>
                    <xdr:row>4</xdr:row>
                    <xdr:rowOff>152400</xdr:rowOff>
                  </to>
                </anchor>
              </controlPr>
            </control>
          </mc:Choice>
        </mc:AlternateContent>
        <mc:AlternateContent xmlns:mc="http://schemas.openxmlformats.org/markup-compatibility/2006">
          <mc:Choice Requires="x14">
            <control shapeId="1033" r:id="rId9" name="Button 9">
              <controlPr locked="0" defaultSize="0" print="0" autoFill="0" autoPict="0" macro="[0]!Registration.Registration">
                <anchor moveWithCells="1">
                  <from>
                    <xdr:col>8</xdr:col>
                    <xdr:colOff>457200</xdr:colOff>
                    <xdr:row>71</xdr:row>
                    <xdr:rowOff>0</xdr:rowOff>
                  </from>
                  <to>
                    <xdr:col>11</xdr:col>
                    <xdr:colOff>457200</xdr:colOff>
                    <xdr:row>104</xdr:row>
                    <xdr:rowOff>114300</xdr:rowOff>
                  </to>
                </anchor>
              </controlPr>
            </control>
          </mc:Choice>
        </mc:AlternateContent>
        <mc:AlternateContent xmlns:mc="http://schemas.openxmlformats.org/markup-compatibility/2006">
          <mc:Choice Requires="x14">
            <control shapeId="1034" r:id="rId10" name="Button 10">
              <controlPr locked="0" defaultSize="0" print="0" autoFill="0" autoPict="0" macro="[0]!ResetRegistration">
                <anchor moveWithCells="1">
                  <from>
                    <xdr:col>11</xdr:col>
                    <xdr:colOff>476250</xdr:colOff>
                    <xdr:row>70</xdr:row>
                    <xdr:rowOff>0</xdr:rowOff>
                  </from>
                  <to>
                    <xdr:col>14</xdr:col>
                    <xdr:colOff>476250</xdr:colOff>
                    <xdr:row>104</xdr:row>
                    <xdr:rowOff>114300</xdr:rowOff>
                  </to>
                </anchor>
              </controlPr>
            </control>
          </mc:Choice>
        </mc:AlternateContent>
        <mc:AlternateContent xmlns:mc="http://schemas.openxmlformats.org/markup-compatibility/2006">
          <mc:Choice Requires="x14">
            <control shapeId="1035" r:id="rId11" name="Button 11">
              <controlPr locked="0" defaultSize="0" print="0" autoFill="0" autoPict="0" macro="[0]!Email_UserRegistrationSheet">
                <anchor moveWithCells="1">
                  <from>
                    <xdr:col>8</xdr:col>
                    <xdr:colOff>457200</xdr:colOff>
                    <xdr:row>71</xdr:row>
                    <xdr:rowOff>0</xdr:rowOff>
                  </from>
                  <to>
                    <xdr:col>11</xdr:col>
                    <xdr:colOff>457200</xdr:colOff>
                    <xdr:row>104</xdr:row>
                    <xdr:rowOff>114300</xdr:rowOff>
                  </to>
                </anchor>
              </controlPr>
            </control>
          </mc:Choice>
        </mc:AlternateContent>
        <mc:AlternateContent xmlns:mc="http://schemas.openxmlformats.org/markup-compatibility/2006">
          <mc:Choice Requires="x14">
            <control shapeId="1039" r:id="rId12" name="ProtectionButton1">
              <controlPr locked="0" defaultSize="0" print="0" autoFill="0" autoPict="0" macro="[0]!AcceptLicenseAgreement">
                <anchor moveWithCells="1">
                  <from>
                    <xdr:col>1</xdr:col>
                    <xdr:colOff>228600</xdr:colOff>
                    <xdr:row>39</xdr:row>
                    <xdr:rowOff>85725</xdr:rowOff>
                  </from>
                  <to>
                    <xdr:col>2</xdr:col>
                    <xdr:colOff>942975</xdr:colOff>
                    <xdr:row>43</xdr:row>
                    <xdr:rowOff>47625</xdr:rowOff>
                  </to>
                </anchor>
              </controlPr>
            </control>
          </mc:Choice>
        </mc:AlternateContent>
        <mc:AlternateContent xmlns:mc="http://schemas.openxmlformats.org/markup-compatibility/2006">
          <mc:Choice Requires="x14">
            <control shapeId="1040" r:id="rId13" name="Button 16">
              <controlPr locked="0" defaultSize="0" print="0" autoFill="0" autoPict="0" macro="[0]!CheckVersion">
                <anchor moveWithCells="1">
                  <from>
                    <xdr:col>2</xdr:col>
                    <xdr:colOff>942975</xdr:colOff>
                    <xdr:row>39</xdr:row>
                    <xdr:rowOff>76200</xdr:rowOff>
                  </from>
                  <to>
                    <xdr:col>4</xdr:col>
                    <xdr:colOff>695325</xdr:colOff>
                    <xdr:row>43</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GroupR">
    <tabColor rgb="FFFFFF00"/>
    <pageSetUpPr autoPageBreaks="0" fitToPage="1"/>
  </sheetPr>
  <dimension ref="A1:CS1242"/>
  <sheetViews>
    <sheetView zoomScaleNormal="100" zoomScalePageLayoutView="400" workbookViewId="0">
      <pane ySplit="1" topLeftCell="A2" activePane="bottomLeft" state="frozen"/>
      <selection pane="bottomLeft" activeCell="A2" sqref="A2"/>
    </sheetView>
  </sheetViews>
  <sheetFormatPr defaultColWidth="9.140625" defaultRowHeight="15.75" customHeight="1"/>
  <cols>
    <col min="1" max="2" width="2.7109375" style="11" customWidth="1"/>
    <col min="3" max="3" width="3.42578125" style="11" customWidth="1"/>
    <col min="4" max="4" width="8.42578125" style="11" customWidth="1"/>
    <col min="5" max="5" width="47.42578125" style="11" customWidth="1"/>
    <col min="6" max="6" width="10.7109375" style="11" customWidth="1"/>
    <col min="7" max="7" width="11" style="11" customWidth="1"/>
    <col min="8" max="8" width="11.42578125" style="11" customWidth="1"/>
    <col min="9" max="9" width="8.5703125" style="11" customWidth="1"/>
    <col min="10" max="10" width="8.42578125" style="11" customWidth="1"/>
    <col min="11" max="11" width="11.140625" style="11" customWidth="1"/>
    <col min="12" max="12" width="7.28515625" style="11" customWidth="1"/>
    <col min="13" max="13" width="9.7109375" style="11" customWidth="1"/>
    <col min="14" max="14" width="13" style="11" customWidth="1"/>
    <col min="15" max="15" width="11.7109375" style="11" customWidth="1"/>
    <col min="16" max="16" width="17.140625" style="11" customWidth="1"/>
    <col min="17" max="17" width="5.85546875" style="11" hidden="1" customWidth="1"/>
    <col min="18" max="18" width="9.42578125" style="11" hidden="1" customWidth="1"/>
    <col min="19" max="19" width="8" style="11" hidden="1" customWidth="1"/>
    <col min="20" max="20" width="49.140625" style="11" hidden="1" customWidth="1"/>
    <col min="21" max="21" width="11.85546875" style="11" hidden="1" customWidth="1"/>
    <col min="22" max="22" width="12.7109375" style="11" hidden="1" customWidth="1"/>
    <col min="23" max="23" width="10.85546875" style="11" hidden="1" customWidth="1"/>
    <col min="24" max="24" width="6.85546875" style="11" hidden="1" customWidth="1"/>
    <col min="25" max="25" width="7.28515625" style="11" hidden="1" customWidth="1"/>
    <col min="26" max="26" width="7" style="11" hidden="1" customWidth="1"/>
    <col min="27" max="27" width="7.42578125" style="11" hidden="1" customWidth="1"/>
    <col min="28" max="29" width="9.7109375" style="11" hidden="1" customWidth="1"/>
    <col min="30" max="30" width="6.42578125" style="11" hidden="1" customWidth="1"/>
    <col min="31" max="31" width="11.5703125" style="11" hidden="1" customWidth="1"/>
    <col min="32" max="33" width="8.7109375" style="11" customWidth="1"/>
    <col min="34" max="34" width="65.42578125" style="11" customWidth="1"/>
    <col min="35" max="35" width="28.7109375" style="11" hidden="1" customWidth="1"/>
    <col min="36" max="36" width="9.140625" style="11" hidden="1" customWidth="1"/>
    <col min="37" max="37" width="24.42578125" style="11" hidden="1" customWidth="1"/>
    <col min="38" max="97" width="15.7109375" style="11" hidden="1" customWidth="1"/>
    <col min="98" max="16384" width="9.140625" style="11"/>
  </cols>
  <sheetData>
    <row r="1" spans="1:97" ht="15.75" customHeight="1">
      <c r="A1" s="615"/>
      <c r="B1" s="615"/>
      <c r="C1" s="615"/>
      <c r="D1" s="687" t="str">
        <f>IF(MacroMessage="","",MacroMessage)</f>
        <v>ENABLE MACROS: Macros must be enabled for this tool to function properly.</v>
      </c>
      <c r="E1" s="615"/>
      <c r="F1" s="615"/>
      <c r="G1" s="615"/>
      <c r="H1" s="615"/>
      <c r="I1" s="615"/>
      <c r="J1" s="615"/>
      <c r="K1" s="615"/>
      <c r="L1" s="615"/>
      <c r="M1" s="615"/>
      <c r="N1" s="615"/>
      <c r="O1" s="615"/>
      <c r="P1" s="615"/>
      <c r="Q1" s="615"/>
      <c r="R1" s="615"/>
      <c r="S1" s="969" t="str">
        <f>IFERROR(CONCATENATE("UA Red=",ROUND(N42,1),"  (",ROUND(N41*100,1),"%)"),"--")</f>
        <v>UA Red=10.7  (3.9%)</v>
      </c>
      <c r="T1" s="690"/>
      <c r="U1" s="615"/>
      <c r="V1" s="615"/>
      <c r="W1" s="615"/>
      <c r="X1" s="615"/>
      <c r="Y1" s="615"/>
      <c r="Z1" s="615"/>
      <c r="AA1" s="615"/>
      <c r="AB1" s="615"/>
      <c r="AC1" s="615"/>
      <c r="AD1" s="615"/>
      <c r="AE1" s="615"/>
      <c r="AF1" s="615"/>
      <c r="AG1" s="615"/>
      <c r="AH1" s="615"/>
      <c r="AK1" s="782" t="s">
        <v>2323</v>
      </c>
      <c r="AL1" s="209"/>
      <c r="AM1" s="209"/>
      <c r="AN1" s="209"/>
      <c r="AO1" s="209"/>
      <c r="AP1" s="209"/>
      <c r="AQ1" s="209"/>
      <c r="AR1" s="209"/>
      <c r="AS1" s="209"/>
      <c r="AT1" s="209"/>
      <c r="AU1" s="209"/>
      <c r="AV1" s="209"/>
      <c r="AW1" s="209"/>
      <c r="AX1" s="209"/>
      <c r="AY1" s="210"/>
      <c r="AZ1" s="210"/>
      <c r="BA1" s="210"/>
      <c r="BB1" s="210"/>
      <c r="BC1" s="210"/>
    </row>
    <row r="2" spans="1:97" ht="24" customHeight="1">
      <c r="A2" s="1037"/>
      <c r="B2" s="254"/>
      <c r="C2" s="617" t="str">
        <f>'Getting Started'!$C$1</f>
        <v>WSU Code Compliance Calculator  - WSEC 2018 &amp; 2021</v>
      </c>
      <c r="D2" s="254"/>
      <c r="E2" s="617"/>
      <c r="F2" s="254"/>
      <c r="G2" s="618"/>
      <c r="H2" s="685"/>
      <c r="I2" s="685"/>
      <c r="J2" s="685"/>
      <c r="K2" s="685"/>
      <c r="L2" s="686"/>
      <c r="M2" s="1204" t="s">
        <v>2548</v>
      </c>
      <c r="N2" s="1205"/>
      <c r="O2" s="1206" t="s">
        <v>2360</v>
      </c>
      <c r="P2" s="1206"/>
      <c r="Q2" s="254"/>
      <c r="R2" s="254"/>
      <c r="S2" s="738"/>
      <c r="T2" s="739"/>
      <c r="U2" s="254"/>
      <c r="V2" s="254"/>
      <c r="W2" s="254"/>
      <c r="X2" s="254"/>
      <c r="Y2" s="254"/>
      <c r="Z2" s="254"/>
      <c r="AA2" s="254"/>
      <c r="AB2" s="254"/>
      <c r="AC2" s="254"/>
      <c r="AD2" s="254"/>
      <c r="AE2" s="254"/>
      <c r="AF2" s="254"/>
      <c r="AG2" s="254"/>
      <c r="AH2" s="254"/>
      <c r="AI2" s="209"/>
      <c r="AJ2" s="209"/>
      <c r="AK2" s="783" t="s">
        <v>2597</v>
      </c>
      <c r="AL2" s="784" t="s">
        <v>2598</v>
      </c>
      <c r="AM2" s="785" t="s">
        <v>2599</v>
      </c>
      <c r="AN2" s="785" t="s">
        <v>2600</v>
      </c>
      <c r="AO2" s="785" t="s">
        <v>2825</v>
      </c>
      <c r="AP2" s="785" t="s">
        <v>2826</v>
      </c>
      <c r="AQ2" s="785" t="s">
        <v>2827</v>
      </c>
      <c r="AR2" s="785" t="s">
        <v>2828</v>
      </c>
      <c r="AS2" s="785" t="s">
        <v>2601</v>
      </c>
      <c r="AT2" s="785" t="s">
        <v>2602</v>
      </c>
      <c r="AU2" s="785" t="s">
        <v>2603</v>
      </c>
      <c r="AV2" s="785" t="s">
        <v>2604</v>
      </c>
      <c r="AW2" s="785" t="s">
        <v>2605</v>
      </c>
      <c r="AX2" s="785" t="s">
        <v>2606</v>
      </c>
      <c r="AY2" s="785" t="s">
        <v>2607</v>
      </c>
      <c r="AZ2" s="785" t="s">
        <v>2608</v>
      </c>
      <c r="BA2" s="785" t="s">
        <v>2609</v>
      </c>
      <c r="BB2" s="785" t="s">
        <v>2610</v>
      </c>
      <c r="BC2" s="785" t="s">
        <v>2611</v>
      </c>
      <c r="BD2" s="785" t="s">
        <v>2612</v>
      </c>
      <c r="BE2" s="785" t="s">
        <v>2613</v>
      </c>
      <c r="BF2" s="785" t="s">
        <v>2614</v>
      </c>
      <c r="BG2" s="785" t="s">
        <v>2615</v>
      </c>
      <c r="BH2" s="785" t="s">
        <v>2616</v>
      </c>
      <c r="BI2" s="785" t="s">
        <v>2617</v>
      </c>
      <c r="BJ2" s="785" t="s">
        <v>2618</v>
      </c>
      <c r="BK2" s="785" t="s">
        <v>2619</v>
      </c>
      <c r="BL2" s="785" t="s">
        <v>2620</v>
      </c>
      <c r="BM2" s="785" t="s">
        <v>2621</v>
      </c>
      <c r="BN2" s="785" t="s">
        <v>2622</v>
      </c>
      <c r="BO2" s="785" t="s">
        <v>2623</v>
      </c>
      <c r="BP2" s="785" t="s">
        <v>2624</v>
      </c>
      <c r="BQ2" s="785" t="s">
        <v>2625</v>
      </c>
      <c r="BR2" s="785" t="s">
        <v>2626</v>
      </c>
      <c r="BS2" s="784" t="s">
        <v>2627</v>
      </c>
      <c r="BT2" s="784" t="s">
        <v>2628</v>
      </c>
      <c r="BU2" s="784" t="s">
        <v>2629</v>
      </c>
      <c r="BV2" s="784" t="s">
        <v>2630</v>
      </c>
      <c r="BW2" s="784" t="s">
        <v>2631</v>
      </c>
      <c r="BX2" s="784" t="s">
        <v>2632</v>
      </c>
      <c r="BY2" s="784" t="s">
        <v>2633</v>
      </c>
      <c r="BZ2" s="784" t="s">
        <v>2634</v>
      </c>
      <c r="CA2" s="784" t="s">
        <v>2635</v>
      </c>
      <c r="CB2" s="784" t="s">
        <v>2636</v>
      </c>
      <c r="CC2" s="784" t="s">
        <v>2637</v>
      </c>
      <c r="CD2" s="784" t="s">
        <v>2638</v>
      </c>
      <c r="CE2" s="784" t="s">
        <v>2639</v>
      </c>
      <c r="CF2" s="784" t="s">
        <v>2640</v>
      </c>
      <c r="CG2" s="784" t="s">
        <v>2641</v>
      </c>
      <c r="CH2" s="784" t="s">
        <v>2642</v>
      </c>
      <c r="CI2" s="784" t="s">
        <v>2643</v>
      </c>
      <c r="CJ2" s="784" t="s">
        <v>2644</v>
      </c>
      <c r="CK2" s="784" t="s">
        <v>2645</v>
      </c>
      <c r="CL2" s="784" t="s">
        <v>2646</v>
      </c>
      <c r="CM2" s="784" t="s">
        <v>2647</v>
      </c>
      <c r="CN2" s="784" t="s">
        <v>2648</v>
      </c>
      <c r="CO2" s="784" t="s">
        <v>2649</v>
      </c>
      <c r="CP2" s="784" t="s">
        <v>2650</v>
      </c>
      <c r="CQ2" s="784" t="s">
        <v>2651</v>
      </c>
      <c r="CR2" s="784" t="s">
        <v>2652</v>
      </c>
      <c r="CS2" s="786" t="s">
        <v>2653</v>
      </c>
    </row>
    <row r="3" spans="1:97" ht="18" customHeight="1">
      <c r="A3" s="130"/>
      <c r="B3" s="130"/>
      <c r="C3" s="130"/>
      <c r="D3" s="130"/>
      <c r="E3" s="130"/>
      <c r="F3" s="129"/>
      <c r="G3" s="129"/>
      <c r="H3" s="129"/>
      <c r="I3" s="129"/>
      <c r="J3" s="129"/>
      <c r="K3" s="129"/>
      <c r="L3" s="129"/>
      <c r="M3" s="129"/>
      <c r="N3" s="129"/>
      <c r="O3" s="129"/>
      <c r="P3" s="130"/>
      <c r="Q3" s="130"/>
      <c r="R3" s="724"/>
      <c r="S3" s="737"/>
      <c r="T3" s="727"/>
      <c r="U3" s="727"/>
      <c r="V3" s="727"/>
      <c r="W3" s="727"/>
      <c r="X3" s="727"/>
      <c r="Y3" s="727"/>
      <c r="Z3" s="727"/>
      <c r="AA3" s="727"/>
      <c r="AB3" s="727"/>
      <c r="AC3" s="727"/>
      <c r="AD3" s="727"/>
      <c r="AE3" s="727"/>
      <c r="AF3" s="727"/>
      <c r="AG3" s="728"/>
      <c r="AH3" s="729"/>
      <c r="AI3" s="130"/>
      <c r="AJ3" s="130"/>
      <c r="AK3" s="787">
        <v>1</v>
      </c>
      <c r="AL3" s="788" t="s">
        <v>2296</v>
      </c>
      <c r="AM3" s="789">
        <v>2.5</v>
      </c>
      <c r="AN3" s="789">
        <v>17.584272626562804</v>
      </c>
      <c r="AO3" s="790" t="s">
        <v>2297</v>
      </c>
      <c r="AP3" s="790">
        <v>240</v>
      </c>
      <c r="AQ3" s="790" t="s">
        <v>1357</v>
      </c>
      <c r="AR3" s="790">
        <v>50</v>
      </c>
      <c r="AS3" s="790">
        <v>1344</v>
      </c>
      <c r="AT3" s="790">
        <v>10752</v>
      </c>
      <c r="AU3" s="790">
        <v>0</v>
      </c>
      <c r="AV3" s="790">
        <v>1184</v>
      </c>
      <c r="AW3" s="790">
        <v>1344</v>
      </c>
      <c r="AX3" s="790">
        <v>43.68</v>
      </c>
      <c r="AY3" s="790">
        <v>43.68</v>
      </c>
      <c r="AZ3" s="790">
        <v>43.68</v>
      </c>
      <c r="BA3" s="790">
        <v>43.68</v>
      </c>
      <c r="BB3" s="790">
        <v>40</v>
      </c>
      <c r="BC3" s="790">
        <v>1</v>
      </c>
      <c r="BD3" s="791">
        <v>1344</v>
      </c>
      <c r="BE3" s="791">
        <v>148</v>
      </c>
      <c r="BF3" s="790">
        <v>1</v>
      </c>
      <c r="BG3" s="790">
        <v>2</v>
      </c>
      <c r="BH3" s="790">
        <v>8</v>
      </c>
      <c r="BI3" s="791">
        <v>50</v>
      </c>
      <c r="BJ3" s="790">
        <v>4.5</v>
      </c>
      <c r="BK3" s="790">
        <v>4.5</v>
      </c>
      <c r="BL3" s="790">
        <v>1</v>
      </c>
      <c r="BM3" s="791">
        <v>50</v>
      </c>
      <c r="BN3" s="790">
        <v>4</v>
      </c>
      <c r="BO3" s="790">
        <v>0</v>
      </c>
      <c r="BP3" s="790">
        <v>0</v>
      </c>
      <c r="BQ3" s="790">
        <v>1</v>
      </c>
      <c r="BR3" s="790">
        <v>0.65</v>
      </c>
      <c r="BS3" s="788" t="s">
        <v>2298</v>
      </c>
      <c r="BT3" s="788" t="s">
        <v>2299</v>
      </c>
      <c r="BU3" s="792">
        <v>2.3918495297805644</v>
      </c>
      <c r="BV3" s="792">
        <v>2.3918495297805644</v>
      </c>
      <c r="BW3" s="790">
        <v>1</v>
      </c>
      <c r="BX3" s="790">
        <v>8</v>
      </c>
      <c r="BY3" s="790">
        <v>1</v>
      </c>
      <c r="BZ3" s="791">
        <v>8</v>
      </c>
      <c r="CA3" s="787" t="b">
        <v>0</v>
      </c>
      <c r="CB3" s="790">
        <v>3</v>
      </c>
      <c r="CC3" s="787">
        <v>70.319999999999993</v>
      </c>
      <c r="CD3" s="793">
        <v>0.13</v>
      </c>
      <c r="CE3" s="788">
        <v>32</v>
      </c>
      <c r="CF3" s="788">
        <v>42</v>
      </c>
      <c r="CG3" s="790">
        <v>1</v>
      </c>
      <c r="CH3" s="788" t="b">
        <v>1</v>
      </c>
      <c r="CI3" s="787">
        <v>1344</v>
      </c>
      <c r="CJ3" s="787">
        <v>1500</v>
      </c>
      <c r="CK3" s="788">
        <v>50</v>
      </c>
      <c r="CL3" s="788">
        <v>50</v>
      </c>
      <c r="CM3" s="787">
        <v>1344</v>
      </c>
      <c r="CN3" s="787">
        <v>969.28</v>
      </c>
      <c r="CO3" s="787">
        <v>0</v>
      </c>
      <c r="CP3" s="787">
        <v>174.72</v>
      </c>
      <c r="CQ3" s="787">
        <v>0</v>
      </c>
      <c r="CR3" s="788">
        <v>0.88095238095238093</v>
      </c>
      <c r="CS3" s="787">
        <v>290</v>
      </c>
    </row>
    <row r="4" spans="1:97" ht="16.5" customHeight="1">
      <c r="A4" s="129"/>
      <c r="B4" s="605"/>
      <c r="C4" s="267" t="s">
        <v>2043</v>
      </c>
      <c r="D4" s="262"/>
      <c r="E4" s="519"/>
      <c r="F4" s="606"/>
      <c r="G4" s="719" t="s">
        <v>3172</v>
      </c>
      <c r="H4" s="720"/>
      <c r="I4" s="720"/>
      <c r="J4" s="1049" t="str">
        <f>IF(Menu_UseOfCalculator=MenuItem_UserDefinedBaseline,"","RESULT=")</f>
        <v>RESULT=</v>
      </c>
      <c r="K4" s="1050" t="str">
        <f>IFERROR(IF(Menu_UseOfCalculator=MenuItem_UserDefinedBaseline,"",J342),"")</f>
        <v>PASS</v>
      </c>
      <c r="L4" s="720"/>
      <c r="M4" s="720"/>
      <c r="N4" s="720"/>
      <c r="O4" s="720"/>
      <c r="P4" s="721"/>
      <c r="Q4" s="129"/>
      <c r="R4" s="145"/>
      <c r="S4" s="778" t="s">
        <v>2738</v>
      </c>
      <c r="T4" s="779"/>
      <c r="U4" s="779"/>
      <c r="V4" s="779"/>
      <c r="W4" s="779"/>
      <c r="X4" s="779"/>
      <c r="Y4" s="779"/>
      <c r="Z4" s="779"/>
      <c r="AA4" s="779"/>
      <c r="AB4" s="780"/>
      <c r="AC4" s="726"/>
      <c r="AD4" s="726"/>
      <c r="AE4" s="726"/>
      <c r="AF4" s="726"/>
      <c r="AG4" s="726"/>
      <c r="AH4" s="726"/>
      <c r="AI4" s="129"/>
      <c r="AJ4" s="129"/>
      <c r="AK4" s="787">
        <v>2</v>
      </c>
      <c r="AL4" s="788" t="s">
        <v>2300</v>
      </c>
      <c r="AM4" s="789">
        <v>2.5</v>
      </c>
      <c r="AN4" s="789">
        <v>17.584272626562804</v>
      </c>
      <c r="AO4" s="790" t="s">
        <v>1357</v>
      </c>
      <c r="AP4" s="790">
        <v>240</v>
      </c>
      <c r="AQ4" s="790" t="s">
        <v>1357</v>
      </c>
      <c r="AR4" s="790">
        <v>50</v>
      </c>
      <c r="AS4" s="790">
        <v>1344</v>
      </c>
      <c r="AT4" s="790">
        <v>10752</v>
      </c>
      <c r="AU4" s="790">
        <v>0</v>
      </c>
      <c r="AV4" s="790">
        <v>1184</v>
      </c>
      <c r="AW4" s="790">
        <v>1344</v>
      </c>
      <c r="AX4" s="790">
        <v>43.68</v>
      </c>
      <c r="AY4" s="790">
        <v>43.68</v>
      </c>
      <c r="AZ4" s="790">
        <v>43.68</v>
      </c>
      <c r="BA4" s="790">
        <v>43.68</v>
      </c>
      <c r="BB4" s="790">
        <v>40</v>
      </c>
      <c r="BC4" s="790">
        <v>2</v>
      </c>
      <c r="BD4" s="791">
        <v>1344</v>
      </c>
      <c r="BE4" s="791">
        <v>148</v>
      </c>
      <c r="BF4" s="790">
        <v>0</v>
      </c>
      <c r="BG4" s="790">
        <v>0</v>
      </c>
      <c r="BH4" s="790">
        <v>8</v>
      </c>
      <c r="BI4" s="791">
        <v>50</v>
      </c>
      <c r="BJ4" s="790">
        <v>4.5</v>
      </c>
      <c r="BK4" s="790">
        <v>4.5</v>
      </c>
      <c r="BL4" s="790">
        <v>1</v>
      </c>
      <c r="BM4" s="791">
        <v>50</v>
      </c>
      <c r="BN4" s="790">
        <v>4</v>
      </c>
      <c r="BO4" s="790">
        <v>0</v>
      </c>
      <c r="BP4" s="790">
        <v>0</v>
      </c>
      <c r="BQ4" s="790">
        <v>1</v>
      </c>
      <c r="BR4" s="790">
        <v>0.65</v>
      </c>
      <c r="BS4" s="788" t="s">
        <v>2298</v>
      </c>
      <c r="BT4" s="788" t="s">
        <v>2299</v>
      </c>
      <c r="BU4" s="792">
        <v>2.3918495297805644</v>
      </c>
      <c r="BV4" s="792">
        <v>2.3918495297805644</v>
      </c>
      <c r="BW4" s="790">
        <v>1</v>
      </c>
      <c r="BX4" s="790">
        <v>8</v>
      </c>
      <c r="BY4" s="790">
        <v>1</v>
      </c>
      <c r="BZ4" s="791">
        <v>8</v>
      </c>
      <c r="CA4" s="787" t="b">
        <v>0</v>
      </c>
      <c r="CB4" s="790">
        <v>3</v>
      </c>
      <c r="CC4" s="787">
        <v>70.319999999999993</v>
      </c>
      <c r="CD4" s="793">
        <v>0.13</v>
      </c>
      <c r="CE4" s="788">
        <v>32</v>
      </c>
      <c r="CF4" s="788">
        <v>42</v>
      </c>
      <c r="CG4" s="790">
        <v>1</v>
      </c>
      <c r="CH4" s="788" t="b">
        <v>1</v>
      </c>
      <c r="CI4" s="787">
        <v>1344</v>
      </c>
      <c r="CJ4" s="787">
        <v>1500</v>
      </c>
      <c r="CK4" s="788">
        <v>50</v>
      </c>
      <c r="CL4" s="788">
        <v>50</v>
      </c>
      <c r="CM4" s="787">
        <v>0</v>
      </c>
      <c r="CN4" s="787">
        <v>969.28</v>
      </c>
      <c r="CO4" s="787">
        <v>0</v>
      </c>
      <c r="CP4" s="787">
        <v>174.72</v>
      </c>
      <c r="CQ4" s="787">
        <v>1344</v>
      </c>
      <c r="CR4" s="788">
        <v>0.88095238095238093</v>
      </c>
      <c r="CS4" s="787">
        <v>290</v>
      </c>
    </row>
    <row r="5" spans="1:97" ht="15.75" customHeight="1">
      <c r="A5" s="129"/>
      <c r="B5" s="605"/>
      <c r="C5" s="521"/>
      <c r="D5" s="1005" t="s">
        <v>3234</v>
      </c>
      <c r="E5" s="522"/>
      <c r="F5" s="606"/>
      <c r="G5" s="630" t="str">
        <f>IF(AND(K4="Pass",Menu_UseOfCalculator=Item_Use_CompleteForms),"Credit requirements are met",IF(Menu_UseOfCalculator=MenuItem_NonDwellingUnit,"-",IF(OR(AND(H39&gt;0,N39&gt;0,H65&gt;0),Menu_UseOfCalculator=Item_Use_CompleteForms),IF(N40&lt;H40,"Credit requirements are not met.  Select energy credits from Tables 406.2 and 406.3 below",""),"")))</f>
        <v/>
      </c>
      <c r="H5" s="631"/>
      <c r="I5" s="631"/>
      <c r="J5" s="631"/>
      <c r="K5" s="631"/>
      <c r="L5" s="631"/>
      <c r="M5" s="632"/>
      <c r="N5" s="631"/>
      <c r="O5" s="631"/>
      <c r="P5" s="633"/>
      <c r="Q5" s="131"/>
      <c r="R5" s="145"/>
      <c r="S5" s="737"/>
      <c r="T5" s="730"/>
      <c r="U5" s="726"/>
      <c r="V5" s="726"/>
      <c r="W5" s="726"/>
      <c r="X5" s="726"/>
      <c r="Y5" s="726"/>
      <c r="Z5" s="726"/>
      <c r="AA5" s="726"/>
      <c r="AB5" s="726"/>
      <c r="AC5" s="726"/>
      <c r="AD5" s="726"/>
      <c r="AE5" s="726"/>
      <c r="AF5" s="737"/>
      <c r="AG5" s="726"/>
      <c r="AH5" s="726"/>
      <c r="AI5" s="129"/>
      <c r="AJ5" s="129"/>
      <c r="AK5" s="787">
        <v>3</v>
      </c>
      <c r="AL5" s="788" t="s">
        <v>2654</v>
      </c>
      <c r="AM5" s="789">
        <v>4</v>
      </c>
      <c r="AN5" s="789">
        <v>23.445696835417071</v>
      </c>
      <c r="AO5" s="790" t="s">
        <v>2297</v>
      </c>
      <c r="AP5" s="790">
        <v>300</v>
      </c>
      <c r="AQ5" s="790" t="s">
        <v>1357</v>
      </c>
      <c r="AR5" s="790">
        <v>80</v>
      </c>
      <c r="AS5" s="790">
        <v>2200</v>
      </c>
      <c r="AT5" s="790">
        <v>18700</v>
      </c>
      <c r="AU5" s="790">
        <v>200</v>
      </c>
      <c r="AV5" s="790">
        <v>2210</v>
      </c>
      <c r="AW5" s="790">
        <v>1784</v>
      </c>
      <c r="AX5" s="790">
        <v>91.300000000000011</v>
      </c>
      <c r="AY5" s="790">
        <v>91.300000000000011</v>
      </c>
      <c r="AZ5" s="790">
        <v>91.300000000000011</v>
      </c>
      <c r="BA5" s="790">
        <v>91.300000000000011</v>
      </c>
      <c r="BB5" s="790">
        <v>40</v>
      </c>
      <c r="BC5" s="790">
        <v>1</v>
      </c>
      <c r="BD5" s="791">
        <v>1584</v>
      </c>
      <c r="BE5" s="791">
        <v>160</v>
      </c>
      <c r="BF5" s="790">
        <v>1</v>
      </c>
      <c r="BG5" s="790">
        <v>2</v>
      </c>
      <c r="BH5" s="790">
        <v>17</v>
      </c>
      <c r="BI5" s="791">
        <v>50</v>
      </c>
      <c r="BJ5" s="790">
        <v>4.5</v>
      </c>
      <c r="BK5" s="790">
        <v>4.5</v>
      </c>
      <c r="BL5" s="790">
        <v>1</v>
      </c>
      <c r="BM5" s="791">
        <v>50</v>
      </c>
      <c r="BN5" s="790">
        <v>4</v>
      </c>
      <c r="BO5" s="790">
        <v>0</v>
      </c>
      <c r="BP5" s="790">
        <v>0</v>
      </c>
      <c r="BQ5" s="790">
        <v>1</v>
      </c>
      <c r="BR5" s="790">
        <v>0.65</v>
      </c>
      <c r="BS5" s="788" t="s">
        <v>2298</v>
      </c>
      <c r="BT5" s="788" t="s">
        <v>2299</v>
      </c>
      <c r="BU5" s="792">
        <v>2.7944162436548226</v>
      </c>
      <c r="BV5" s="792">
        <v>2.7944162436548226</v>
      </c>
      <c r="BW5" s="790">
        <v>1</v>
      </c>
      <c r="BX5" s="790">
        <v>8.5</v>
      </c>
      <c r="BY5" s="790">
        <v>2</v>
      </c>
      <c r="BZ5" s="791">
        <v>17</v>
      </c>
      <c r="CA5" s="787" t="b">
        <v>0</v>
      </c>
      <c r="CB5" s="790">
        <v>4</v>
      </c>
      <c r="CC5" s="787">
        <v>103.5</v>
      </c>
      <c r="CD5" s="793">
        <v>0.16600000000000001</v>
      </c>
      <c r="CE5" s="788">
        <v>36</v>
      </c>
      <c r="CF5" s="788">
        <v>44</v>
      </c>
      <c r="CG5" s="790">
        <v>2</v>
      </c>
      <c r="CH5" s="788" t="b">
        <v>1</v>
      </c>
      <c r="CI5" s="787">
        <v>2200</v>
      </c>
      <c r="CJ5" s="787">
        <v>5000</v>
      </c>
      <c r="CK5" s="788">
        <v>50</v>
      </c>
      <c r="CL5" s="788">
        <v>50</v>
      </c>
      <c r="CM5" s="787">
        <v>1784</v>
      </c>
      <c r="CN5" s="787">
        <v>1804.8</v>
      </c>
      <c r="CO5" s="787">
        <v>0</v>
      </c>
      <c r="CP5" s="787">
        <v>365.20000000000005</v>
      </c>
      <c r="CQ5" s="787">
        <v>0</v>
      </c>
      <c r="CR5" s="788">
        <v>1.0045454545454546</v>
      </c>
      <c r="CS5" s="787">
        <v>380</v>
      </c>
    </row>
    <row r="6" spans="1:97" ht="15.75" customHeight="1">
      <c r="A6" s="129"/>
      <c r="B6" s="605"/>
      <c r="C6" s="520"/>
      <c r="D6" s="520"/>
      <c r="E6" s="500"/>
      <c r="F6" s="606"/>
      <c r="G6" s="306" t="str">
        <f>IF(Menu_UseOfCalculator&lt;&gt;Item_Use_CompleteForms,G363,"")</f>
        <v/>
      </c>
      <c r="H6" s="308"/>
      <c r="I6" s="308"/>
      <c r="J6" s="308"/>
      <c r="K6" s="308"/>
      <c r="L6" s="308"/>
      <c r="M6" s="308"/>
      <c r="N6" s="308"/>
      <c r="O6" s="308"/>
      <c r="P6" s="309"/>
      <c r="Q6" s="735"/>
      <c r="R6" s="145"/>
      <c r="S6" s="737"/>
      <c r="T6" s="737"/>
      <c r="U6" s="726"/>
      <c r="V6" s="726"/>
      <c r="W6" s="726"/>
      <c r="X6" s="726"/>
      <c r="Y6" s="726"/>
      <c r="Z6" s="726"/>
      <c r="AA6" s="726"/>
      <c r="AB6" s="726"/>
      <c r="AC6" s="726"/>
      <c r="AD6" s="726"/>
      <c r="AE6" s="726"/>
      <c r="AF6" s="737"/>
      <c r="AG6" s="726"/>
      <c r="AH6" s="726"/>
      <c r="AI6" s="129"/>
      <c r="AJ6" s="129"/>
      <c r="AK6" s="787">
        <v>4</v>
      </c>
      <c r="AL6" s="788" t="s">
        <v>2301</v>
      </c>
      <c r="AM6" s="789">
        <v>4</v>
      </c>
      <c r="AN6" s="789">
        <v>23.445696835417071</v>
      </c>
      <c r="AO6" s="790" t="s">
        <v>1357</v>
      </c>
      <c r="AP6" s="790">
        <v>300</v>
      </c>
      <c r="AQ6" s="790" t="s">
        <v>1357</v>
      </c>
      <c r="AR6" s="790">
        <v>80</v>
      </c>
      <c r="AS6" s="790">
        <v>2200</v>
      </c>
      <c r="AT6" s="790">
        <v>18700</v>
      </c>
      <c r="AU6" s="790">
        <v>200</v>
      </c>
      <c r="AV6" s="790">
        <v>2210</v>
      </c>
      <c r="AW6" s="790">
        <v>1784</v>
      </c>
      <c r="AX6" s="790">
        <v>91.300000000000011</v>
      </c>
      <c r="AY6" s="790">
        <v>91.300000000000011</v>
      </c>
      <c r="AZ6" s="790">
        <v>91.300000000000011</v>
      </c>
      <c r="BA6" s="790">
        <v>91.300000000000011</v>
      </c>
      <c r="BB6" s="790">
        <v>40</v>
      </c>
      <c r="BC6" s="790">
        <v>2</v>
      </c>
      <c r="BD6" s="791">
        <v>1584</v>
      </c>
      <c r="BE6" s="791">
        <v>160</v>
      </c>
      <c r="BF6" s="790">
        <v>0</v>
      </c>
      <c r="BG6" s="790">
        <v>0</v>
      </c>
      <c r="BH6" s="790">
        <v>17</v>
      </c>
      <c r="BI6" s="791">
        <v>50</v>
      </c>
      <c r="BJ6" s="790">
        <v>4.5</v>
      </c>
      <c r="BK6" s="790">
        <v>4.5</v>
      </c>
      <c r="BL6" s="790">
        <v>1</v>
      </c>
      <c r="BM6" s="791">
        <v>50</v>
      </c>
      <c r="BN6" s="790">
        <v>4</v>
      </c>
      <c r="BO6" s="790">
        <v>0</v>
      </c>
      <c r="BP6" s="790">
        <v>0</v>
      </c>
      <c r="BQ6" s="790">
        <v>1</v>
      </c>
      <c r="BR6" s="790">
        <v>0.65</v>
      </c>
      <c r="BS6" s="788" t="s">
        <v>2298</v>
      </c>
      <c r="BT6" s="788" t="s">
        <v>2299</v>
      </c>
      <c r="BU6" s="792">
        <v>2.7944162436548226</v>
      </c>
      <c r="BV6" s="792">
        <v>2.7944162436548226</v>
      </c>
      <c r="BW6" s="790">
        <v>1</v>
      </c>
      <c r="BX6" s="790">
        <v>8.5</v>
      </c>
      <c r="BY6" s="790">
        <v>2</v>
      </c>
      <c r="BZ6" s="791">
        <v>17</v>
      </c>
      <c r="CA6" s="787" t="b">
        <v>0</v>
      </c>
      <c r="CB6" s="790">
        <v>4</v>
      </c>
      <c r="CC6" s="787">
        <v>103.5</v>
      </c>
      <c r="CD6" s="793">
        <v>0.16600000000000001</v>
      </c>
      <c r="CE6" s="788">
        <v>36</v>
      </c>
      <c r="CF6" s="788">
        <v>44</v>
      </c>
      <c r="CG6" s="790">
        <v>2</v>
      </c>
      <c r="CH6" s="788" t="b">
        <v>1</v>
      </c>
      <c r="CI6" s="787">
        <v>2200</v>
      </c>
      <c r="CJ6" s="787">
        <v>5000</v>
      </c>
      <c r="CK6" s="788">
        <v>50</v>
      </c>
      <c r="CL6" s="788">
        <v>50</v>
      </c>
      <c r="CM6" s="787">
        <v>200</v>
      </c>
      <c r="CN6" s="787">
        <v>1804.8</v>
      </c>
      <c r="CO6" s="787">
        <v>0</v>
      </c>
      <c r="CP6" s="787">
        <v>365.20000000000005</v>
      </c>
      <c r="CQ6" s="787">
        <v>1584</v>
      </c>
      <c r="CR6" s="788">
        <v>1.0045454545454546</v>
      </c>
      <c r="CS6" s="787">
        <v>380</v>
      </c>
    </row>
    <row r="7" spans="1:97" ht="15.75" customHeight="1">
      <c r="A7" s="129"/>
      <c r="B7" s="605"/>
      <c r="C7" s="520"/>
      <c r="D7" s="520"/>
      <c r="E7" s="500"/>
      <c r="F7" s="606"/>
      <c r="G7" s="307" t="str">
        <f>IF(Menu_UseOfCalculator=Item_Use_CompleteForms,"",IFERROR(IF(J18&lt;&gt;"","",CONCATENATE(I334,I333)),""))</f>
        <v>UA Reduction = 10.72, Proposed UA is better than baseline by 4%</v>
      </c>
      <c r="H7" s="308"/>
      <c r="I7" s="308"/>
      <c r="J7" s="308"/>
      <c r="K7" s="308"/>
      <c r="L7" s="308"/>
      <c r="M7" s="308"/>
      <c r="N7" s="308"/>
      <c r="O7" s="308"/>
      <c r="P7" s="309"/>
      <c r="R7" s="968"/>
      <c r="S7" s="979"/>
      <c r="T7" s="971"/>
      <c r="U7" s="726"/>
      <c r="V7" s="726"/>
      <c r="W7" s="726"/>
      <c r="X7" s="726"/>
      <c r="Y7" s="726"/>
      <c r="Z7" s="726"/>
      <c r="AA7" s="726"/>
      <c r="AB7" s="726"/>
      <c r="AC7" s="726"/>
      <c r="AD7" s="726"/>
      <c r="AE7" s="726"/>
      <c r="AF7" s="737"/>
      <c r="AG7" s="726"/>
      <c r="AH7" s="726"/>
      <c r="AI7" s="129"/>
      <c r="AJ7" s="129"/>
      <c r="AK7" s="787">
        <v>5</v>
      </c>
      <c r="AL7" s="788" t="s">
        <v>2302</v>
      </c>
      <c r="AM7" s="789">
        <v>3.5</v>
      </c>
      <c r="AN7" s="789">
        <v>17.584272626562804</v>
      </c>
      <c r="AO7" s="790" t="s">
        <v>2303</v>
      </c>
      <c r="AP7" s="790">
        <v>0</v>
      </c>
      <c r="AQ7" s="790" t="s">
        <v>1357</v>
      </c>
      <c r="AR7" s="790">
        <v>40</v>
      </c>
      <c r="AS7" s="790">
        <v>2688</v>
      </c>
      <c r="AT7" s="790">
        <v>22848</v>
      </c>
      <c r="AU7" s="790">
        <v>0</v>
      </c>
      <c r="AV7" s="790">
        <v>1480</v>
      </c>
      <c r="AW7" s="790">
        <v>1344</v>
      </c>
      <c r="AX7" s="790">
        <v>94.080000000000013</v>
      </c>
      <c r="AY7" s="790">
        <v>94.080000000000013</v>
      </c>
      <c r="AZ7" s="790">
        <v>94.080000000000013</v>
      </c>
      <c r="BA7" s="790">
        <v>94.080000000000013</v>
      </c>
      <c r="BB7" s="790">
        <v>40</v>
      </c>
      <c r="BC7" s="790">
        <v>4</v>
      </c>
      <c r="BD7" s="791">
        <v>1344</v>
      </c>
      <c r="BE7" s="791">
        <v>148</v>
      </c>
      <c r="BF7" s="790">
        <v>0.5</v>
      </c>
      <c r="BG7" s="790">
        <v>6.5</v>
      </c>
      <c r="BH7" s="790">
        <v>10</v>
      </c>
      <c r="BI7" s="791">
        <v>50</v>
      </c>
      <c r="BJ7" s="790">
        <v>4.5</v>
      </c>
      <c r="BK7" s="790">
        <v>4.5</v>
      </c>
      <c r="BL7" s="790">
        <v>1</v>
      </c>
      <c r="BM7" s="791">
        <v>50</v>
      </c>
      <c r="BN7" s="790">
        <v>4</v>
      </c>
      <c r="BO7" s="790">
        <v>0</v>
      </c>
      <c r="BP7" s="790">
        <v>0</v>
      </c>
      <c r="BQ7" s="790">
        <v>4</v>
      </c>
      <c r="BR7" s="790">
        <v>0.65</v>
      </c>
      <c r="BS7" s="788" t="s">
        <v>2298</v>
      </c>
      <c r="BT7" s="788" t="s">
        <v>2299</v>
      </c>
      <c r="BU7" s="792">
        <v>2.946236559139785</v>
      </c>
      <c r="BV7" s="792">
        <v>2.946236559139785</v>
      </c>
      <c r="BW7" s="790">
        <v>1</v>
      </c>
      <c r="BX7" s="790">
        <v>10</v>
      </c>
      <c r="BY7" s="790">
        <v>2</v>
      </c>
      <c r="BZ7" s="791">
        <v>20</v>
      </c>
      <c r="CA7" s="787" t="b">
        <v>0</v>
      </c>
      <c r="CB7" s="790">
        <v>4</v>
      </c>
      <c r="CC7" s="787">
        <v>118.14</v>
      </c>
      <c r="CD7" s="793">
        <v>0.14000000000000001</v>
      </c>
      <c r="CE7" s="788">
        <v>32</v>
      </c>
      <c r="CF7" s="788">
        <v>42</v>
      </c>
      <c r="CG7" s="790">
        <v>3</v>
      </c>
      <c r="CH7" s="788" t="b">
        <v>1</v>
      </c>
      <c r="CI7" s="787">
        <v>2688</v>
      </c>
      <c r="CJ7" s="787">
        <v>5000</v>
      </c>
      <c r="CK7" s="788">
        <v>50</v>
      </c>
      <c r="CL7" s="788">
        <v>50</v>
      </c>
      <c r="CM7" s="787">
        <v>0</v>
      </c>
      <c r="CN7" s="787">
        <v>1063.6799999999998</v>
      </c>
      <c r="CO7" s="787">
        <v>1036</v>
      </c>
      <c r="CP7" s="787">
        <v>376.32000000000005</v>
      </c>
      <c r="CQ7" s="787">
        <v>0</v>
      </c>
      <c r="CR7" s="788">
        <v>0.93601190476190477</v>
      </c>
      <c r="CS7" s="787">
        <v>40</v>
      </c>
    </row>
    <row r="8" spans="1:97" ht="15.75" customHeight="1">
      <c r="A8" s="129"/>
      <c r="B8" s="605"/>
      <c r="C8" s="520"/>
      <c r="D8" s="520"/>
      <c r="E8" s="500"/>
      <c r="F8" s="606"/>
      <c r="G8" s="679" t="str">
        <f>IFERROR(IF(K29="","",IF(Menu_UseOfCalculator=MenuItem_UFactorPath,IF(SUM(J29:J37)&gt;0,"A U-factor exceeds maximum allowed by U-factor Path",""),"")),"")</f>
        <v/>
      </c>
      <c r="H8" s="308"/>
      <c r="I8" s="308"/>
      <c r="J8" s="308"/>
      <c r="K8" s="308"/>
      <c r="L8" s="308"/>
      <c r="M8" s="308"/>
      <c r="N8" s="308"/>
      <c r="O8" s="308"/>
      <c r="P8" s="309"/>
      <c r="R8" s="968"/>
      <c r="S8" s="979"/>
      <c r="T8" s="971"/>
      <c r="U8" s="726"/>
      <c r="V8" s="726"/>
      <c r="W8" s="726"/>
      <c r="X8" s="726"/>
      <c r="Y8" s="726"/>
      <c r="Z8" s="726"/>
      <c r="AA8" s="726"/>
      <c r="AB8" s="726"/>
      <c r="AC8" s="726"/>
      <c r="AD8" s="726"/>
      <c r="AE8" s="726"/>
      <c r="AF8" s="737"/>
      <c r="AG8" s="726"/>
      <c r="AH8" s="726"/>
      <c r="AI8" s="129"/>
      <c r="AJ8" s="129"/>
      <c r="AK8" s="787"/>
      <c r="AL8" s="788"/>
      <c r="AM8" s="789"/>
      <c r="AN8" s="789"/>
      <c r="AO8" s="790"/>
      <c r="AP8" s="790"/>
      <c r="AQ8" s="790"/>
      <c r="AR8" s="790"/>
      <c r="AS8" s="790"/>
      <c r="AT8" s="790"/>
      <c r="AU8" s="790"/>
      <c r="AV8" s="790"/>
      <c r="AW8" s="790"/>
      <c r="AX8" s="790"/>
      <c r="AY8" s="790"/>
      <c r="AZ8" s="790"/>
      <c r="BA8" s="790"/>
      <c r="BB8" s="790"/>
      <c r="BC8" s="790"/>
      <c r="BD8" s="791"/>
      <c r="BE8" s="791"/>
      <c r="BF8" s="790"/>
      <c r="BG8" s="790"/>
      <c r="BH8" s="790"/>
      <c r="BI8" s="791"/>
      <c r="BJ8" s="790"/>
      <c r="BK8" s="790"/>
      <c r="BL8" s="790"/>
      <c r="BM8" s="791"/>
      <c r="BN8" s="790"/>
      <c r="BO8" s="790"/>
      <c r="BP8" s="790"/>
      <c r="BQ8" s="790"/>
      <c r="BR8" s="790"/>
      <c r="BS8" s="788"/>
      <c r="BT8" s="788"/>
      <c r="BU8" s="792"/>
      <c r="BV8" s="792"/>
      <c r="BW8" s="790"/>
      <c r="BX8" s="790"/>
      <c r="BY8" s="790"/>
      <c r="BZ8" s="791"/>
      <c r="CA8" s="787"/>
      <c r="CB8" s="790"/>
      <c r="CC8" s="787"/>
      <c r="CD8" s="793"/>
      <c r="CE8" s="788"/>
      <c r="CF8" s="788"/>
      <c r="CG8" s="790"/>
      <c r="CH8" s="788"/>
      <c r="CI8" s="787"/>
      <c r="CJ8" s="787"/>
      <c r="CK8" s="788"/>
      <c r="CL8" s="788"/>
      <c r="CM8" s="787"/>
      <c r="CN8" s="787"/>
      <c r="CO8" s="787"/>
      <c r="CP8" s="787"/>
      <c r="CQ8" s="787"/>
      <c r="CR8" s="788"/>
      <c r="CS8" s="787"/>
    </row>
    <row r="9" spans="1:97" ht="15.75" customHeight="1">
      <c r="A9" s="129"/>
      <c r="B9" s="605"/>
      <c r="C9" s="520"/>
      <c r="D9" s="520"/>
      <c r="E9" s="500"/>
      <c r="F9" s="606"/>
      <c r="G9" s="307" t="str">
        <f>IF(AND(Menu_UseOfCalculator=MenuItem_UserDefinedBaseline,Menu_ProjectType="New Construction"),"Check:  User-Defined Baseline is not typically used for New Construction.  Log homes are an example of new construction requiring User Defined Baseline","")</f>
        <v/>
      </c>
      <c r="H9" s="308"/>
      <c r="I9" s="308"/>
      <c r="J9" s="308"/>
      <c r="K9" s="308"/>
      <c r="L9" s="308"/>
      <c r="M9" s="308"/>
      <c r="N9" s="308"/>
      <c r="O9" s="308"/>
      <c r="P9" s="309"/>
      <c r="R9" s="968"/>
      <c r="S9" s="968"/>
      <c r="T9" s="726"/>
      <c r="U9" s="726"/>
      <c r="V9" s="726"/>
      <c r="W9" s="726"/>
      <c r="X9" s="726"/>
      <c r="Y9" s="726"/>
      <c r="Z9" s="726"/>
      <c r="AA9" s="726"/>
      <c r="AB9" s="726"/>
      <c r="AC9" s="726"/>
      <c r="AD9" s="726"/>
      <c r="AE9" s="726"/>
      <c r="AF9" s="737"/>
      <c r="AG9" s="726"/>
      <c r="AH9" s="726"/>
      <c r="AI9" s="129"/>
      <c r="AJ9" s="129"/>
      <c r="AK9" s="787"/>
      <c r="AL9" s="788"/>
      <c r="AM9" s="789"/>
      <c r="AN9" s="789"/>
      <c r="AO9" s="790"/>
      <c r="AP9" s="790"/>
      <c r="AQ9" s="790"/>
      <c r="AR9" s="790"/>
      <c r="AS9" s="790"/>
      <c r="AT9" s="790"/>
      <c r="AU9" s="790"/>
      <c r="AV9" s="790"/>
      <c r="AW9" s="790"/>
      <c r="AX9" s="790"/>
      <c r="AY9" s="790"/>
      <c r="AZ9" s="790"/>
      <c r="BA9" s="790"/>
      <c r="BB9" s="790"/>
      <c r="BC9" s="790"/>
      <c r="BD9" s="791"/>
      <c r="BE9" s="791"/>
      <c r="BF9" s="790"/>
      <c r="BG9" s="790"/>
      <c r="BH9" s="790"/>
      <c r="BI9" s="791"/>
      <c r="BJ9" s="790"/>
      <c r="BK9" s="790"/>
      <c r="BL9" s="790"/>
      <c r="BM9" s="791"/>
      <c r="BN9" s="790"/>
      <c r="BO9" s="790"/>
      <c r="BP9" s="790"/>
      <c r="BQ9" s="790"/>
      <c r="BR9" s="790"/>
      <c r="BS9" s="788"/>
      <c r="BT9" s="788"/>
      <c r="BU9" s="792"/>
      <c r="BV9" s="792"/>
      <c r="BW9" s="790"/>
      <c r="BX9" s="790"/>
      <c r="BY9" s="790"/>
      <c r="BZ9" s="791"/>
      <c r="CA9" s="787"/>
      <c r="CB9" s="790"/>
      <c r="CC9" s="787"/>
      <c r="CD9" s="793"/>
      <c r="CE9" s="788"/>
      <c r="CF9" s="788"/>
      <c r="CG9" s="790"/>
      <c r="CH9" s="788"/>
      <c r="CI9" s="787"/>
      <c r="CJ9" s="787"/>
      <c r="CK9" s="788"/>
      <c r="CL9" s="788"/>
      <c r="CM9" s="787"/>
      <c r="CN9" s="787"/>
      <c r="CO9" s="787"/>
      <c r="CP9" s="787"/>
      <c r="CQ9" s="787"/>
      <c r="CR9" s="788"/>
      <c r="CS9" s="787"/>
    </row>
    <row r="10" spans="1:97" ht="15.75" customHeight="1">
      <c r="A10" s="129"/>
      <c r="B10" s="605"/>
      <c r="C10" s="716" t="s">
        <v>2596</v>
      </c>
      <c r="D10" s="717"/>
      <c r="E10" s="718"/>
      <c r="F10" s="606"/>
      <c r="G10" s="307" t="str">
        <f>IF(Menu_UseOfCalculator=MenuItem_NonDwellingUnit,"No credits required for non-dwelling unit",IF(SUM(AF18:AF20)&gt;0,"Correct input errors below",IF(OR(Menu_Option1="",Menu_Option1="Not Selected"),"",IFERROR(IF(Menu_UseOfCalculator=MenuItem_UserDefinedBaseline,"",IF(Menu_UseOfCalculator&lt;&gt;Item_Use_CompleteForms,IF(G785="","",G785),"")),""))))</f>
        <v/>
      </c>
      <c r="H10" s="310"/>
      <c r="I10" s="310"/>
      <c r="J10" s="310"/>
      <c r="K10" s="310"/>
      <c r="L10" s="310"/>
      <c r="M10" s="310"/>
      <c r="N10" s="310"/>
      <c r="O10" s="310"/>
      <c r="P10" s="311"/>
      <c r="Q10" s="736"/>
      <c r="R10" s="968"/>
      <c r="S10" s="968"/>
      <c r="T10" s="736"/>
      <c r="U10" s="726"/>
      <c r="V10" s="726"/>
      <c r="W10" s="726"/>
      <c r="X10" s="726"/>
      <c r="Y10" s="726"/>
      <c r="Z10" s="726"/>
      <c r="AA10" s="726"/>
      <c r="AB10" s="726"/>
      <c r="AC10" s="726"/>
      <c r="AD10" s="726"/>
      <c r="AE10" s="726"/>
      <c r="AF10" s="731"/>
      <c r="AG10" s="731"/>
      <c r="AH10" s="731"/>
      <c r="AI10" s="178"/>
      <c r="AJ10" s="130"/>
      <c r="AK10" s="787">
        <v>6</v>
      </c>
      <c r="AL10" s="788" t="s">
        <v>2304</v>
      </c>
      <c r="AM10" s="789">
        <v>6</v>
      </c>
      <c r="AN10" s="789">
        <v>35.168545253125608</v>
      </c>
      <c r="AO10" s="790" t="s">
        <v>2303</v>
      </c>
      <c r="AP10" s="790">
        <v>0</v>
      </c>
      <c r="AQ10" s="790" t="s">
        <v>1357</v>
      </c>
      <c r="AR10" s="790">
        <v>60</v>
      </c>
      <c r="AS10" s="790">
        <v>5000</v>
      </c>
      <c r="AT10" s="790">
        <v>40100</v>
      </c>
      <c r="AU10" s="790">
        <v>200</v>
      </c>
      <c r="AV10" s="790">
        <v>2788</v>
      </c>
      <c r="AW10" s="790">
        <v>1800</v>
      </c>
      <c r="AX10" s="790">
        <v>187.5</v>
      </c>
      <c r="AY10" s="790">
        <v>187.5</v>
      </c>
      <c r="AZ10" s="790">
        <v>187.5</v>
      </c>
      <c r="BA10" s="790">
        <v>187.5</v>
      </c>
      <c r="BB10" s="790">
        <v>40</v>
      </c>
      <c r="BC10" s="790">
        <v>4</v>
      </c>
      <c r="BD10" s="791">
        <v>1600</v>
      </c>
      <c r="BE10" s="791">
        <v>164</v>
      </c>
      <c r="BF10" s="790">
        <v>0.5</v>
      </c>
      <c r="BG10" s="790">
        <v>6.5</v>
      </c>
      <c r="BH10" s="790">
        <v>17</v>
      </c>
      <c r="BI10" s="791">
        <v>50</v>
      </c>
      <c r="BJ10" s="790">
        <v>4.5</v>
      </c>
      <c r="BK10" s="790">
        <v>4.5</v>
      </c>
      <c r="BL10" s="790">
        <v>1</v>
      </c>
      <c r="BM10" s="791">
        <v>50</v>
      </c>
      <c r="BN10" s="790">
        <v>4</v>
      </c>
      <c r="BO10" s="790">
        <v>0</v>
      </c>
      <c r="BP10" s="790">
        <v>0</v>
      </c>
      <c r="BQ10" s="790">
        <v>4</v>
      </c>
      <c r="BR10" s="790">
        <v>0.65</v>
      </c>
      <c r="BS10" s="788" t="s">
        <v>2298</v>
      </c>
      <c r="BT10" s="788" t="s">
        <v>2299</v>
      </c>
      <c r="BU10" s="792">
        <v>3.9355662368310997</v>
      </c>
      <c r="BV10" s="792">
        <v>3.9355662368310997</v>
      </c>
      <c r="BW10" s="790">
        <v>1</v>
      </c>
      <c r="BX10" s="790">
        <v>10</v>
      </c>
      <c r="BY10" s="790">
        <v>3</v>
      </c>
      <c r="BZ10" s="791">
        <v>30</v>
      </c>
      <c r="CA10" s="787" t="b">
        <v>0</v>
      </c>
      <c r="CB10" s="790">
        <v>4</v>
      </c>
      <c r="CC10" s="787">
        <v>187.5</v>
      </c>
      <c r="CD10" s="793">
        <v>0.15</v>
      </c>
      <c r="CE10" s="788">
        <v>32</v>
      </c>
      <c r="CF10" s="788">
        <v>50</v>
      </c>
      <c r="CG10" s="790"/>
      <c r="CH10" s="788" t="b">
        <v>0</v>
      </c>
      <c r="CI10" s="787">
        <v>5000</v>
      </c>
      <c r="CJ10" s="787">
        <v>9999</v>
      </c>
      <c r="CK10" s="788">
        <v>50</v>
      </c>
      <c r="CL10" s="788">
        <v>50</v>
      </c>
      <c r="CM10" s="787">
        <v>200</v>
      </c>
      <c r="CN10" s="787">
        <v>1998</v>
      </c>
      <c r="CO10" s="787">
        <v>1148</v>
      </c>
      <c r="CP10" s="787">
        <v>750</v>
      </c>
      <c r="CQ10" s="787">
        <v>0</v>
      </c>
      <c r="CR10" s="788">
        <v>0.78720000000000001</v>
      </c>
      <c r="CS10" s="787">
        <v>60</v>
      </c>
    </row>
    <row r="11" spans="1:97" ht="15.75" customHeight="1">
      <c r="A11" s="129"/>
      <c r="B11" s="129"/>
      <c r="C11" s="627"/>
      <c r="D11" s="521"/>
      <c r="E11" s="522"/>
      <c r="F11" s="129"/>
      <c r="G11" s="307" t="str">
        <f>IF(OR(Menu_UseOfCalculator=Item_Use_CompleteForms,Menu_ProjectType=Item_ProjectType_RemodelAlteration),"",IF(AND(M31&gt;0.15*H65,F376="Yes"),"Vertical glazing area of proposed design exceeds 15% of floor area. Baseline window area set to 15% of floor area",CONCATENATE("Window area is ",ROUND(M31/H65*100,0),"% of floor area")))</f>
        <v>Window area is 6% of floor area</v>
      </c>
      <c r="H11" s="308"/>
      <c r="I11" s="308"/>
      <c r="J11" s="308"/>
      <c r="K11" s="308"/>
      <c r="L11" s="308"/>
      <c r="M11" s="308"/>
      <c r="N11" s="308"/>
      <c r="O11" s="308"/>
      <c r="P11" s="309"/>
      <c r="Q11" s="850"/>
      <c r="R11" s="968"/>
      <c r="S11" s="970"/>
      <c r="T11" s="736"/>
      <c r="U11" s="726"/>
      <c r="V11" s="726"/>
      <c r="W11" s="726"/>
      <c r="X11" s="726"/>
      <c r="Y11" s="726"/>
      <c r="Z11" s="726"/>
      <c r="AA11" s="726"/>
      <c r="AB11" s="726"/>
      <c r="AC11" s="726"/>
      <c r="AD11" s="726"/>
      <c r="AE11" s="726"/>
      <c r="AF11" s="731"/>
      <c r="AG11" s="731"/>
      <c r="AH11" s="731"/>
      <c r="AI11" s="130"/>
      <c r="AJ11" s="129"/>
      <c r="AK11" s="787">
        <v>7</v>
      </c>
      <c r="AL11" s="788" t="s">
        <v>2305</v>
      </c>
      <c r="AM11" s="789">
        <v>6</v>
      </c>
      <c r="AN11" s="794">
        <v>23.445696835417071</v>
      </c>
      <c r="AO11" s="790" t="s">
        <v>2303</v>
      </c>
      <c r="AP11" s="788">
        <v>280</v>
      </c>
      <c r="AQ11" s="790" t="s">
        <v>2303</v>
      </c>
      <c r="AR11" s="788">
        <v>70</v>
      </c>
      <c r="AS11" s="788">
        <v>2460</v>
      </c>
      <c r="AT11" s="788">
        <v>20910</v>
      </c>
      <c r="AU11" s="788">
        <v>0</v>
      </c>
      <c r="AV11" s="788">
        <v>2193</v>
      </c>
      <c r="AW11" s="788">
        <v>820</v>
      </c>
      <c r="AX11" s="788">
        <v>92.25</v>
      </c>
      <c r="AY11" s="788">
        <v>92.25</v>
      </c>
      <c r="AZ11" s="788">
        <v>92.25</v>
      </c>
      <c r="BA11" s="788">
        <v>92.25</v>
      </c>
      <c r="BB11" s="788">
        <v>60</v>
      </c>
      <c r="BC11" s="788">
        <v>1</v>
      </c>
      <c r="BD11" s="791">
        <v>821.5</v>
      </c>
      <c r="BE11" s="790">
        <v>86</v>
      </c>
      <c r="BF11" s="788">
        <v>1</v>
      </c>
      <c r="BG11" s="788">
        <v>2</v>
      </c>
      <c r="BH11" s="788">
        <v>25.5</v>
      </c>
      <c r="BI11" s="791">
        <v>150</v>
      </c>
      <c r="BJ11" s="788">
        <v>4.5</v>
      </c>
      <c r="BK11" s="788">
        <v>4.5</v>
      </c>
      <c r="BL11" s="788">
        <v>1</v>
      </c>
      <c r="BM11" s="791">
        <v>150</v>
      </c>
      <c r="BN11" s="788">
        <v>4</v>
      </c>
      <c r="BO11" s="788">
        <v>0</v>
      </c>
      <c r="BP11" s="788">
        <v>0</v>
      </c>
      <c r="BQ11" s="788">
        <v>1</v>
      </c>
      <c r="BR11" s="788">
        <v>0.65</v>
      </c>
      <c r="BS11" s="788" t="s">
        <v>2306</v>
      </c>
      <c r="BT11" s="788" t="s">
        <v>2307</v>
      </c>
      <c r="BU11" s="788">
        <v>2.25</v>
      </c>
      <c r="BV11" s="787">
        <v>6.75</v>
      </c>
      <c r="BW11" s="790">
        <v>3</v>
      </c>
      <c r="BX11" s="790">
        <v>8.5</v>
      </c>
      <c r="BY11" s="790">
        <v>3</v>
      </c>
      <c r="BZ11" s="791">
        <v>25.5</v>
      </c>
      <c r="CA11" s="787" t="b">
        <v>1</v>
      </c>
      <c r="CB11" s="790">
        <v>2</v>
      </c>
      <c r="CC11" s="787">
        <v>141.29999999999998</v>
      </c>
      <c r="CD11" s="793">
        <v>0.15</v>
      </c>
      <c r="CE11" s="788">
        <v>26.5</v>
      </c>
      <c r="CF11" s="788">
        <v>31</v>
      </c>
      <c r="CG11" s="795"/>
      <c r="CH11" s="788" t="b">
        <v>0</v>
      </c>
      <c r="CI11" s="787">
        <v>820</v>
      </c>
      <c r="CJ11" s="787">
        <v>1500</v>
      </c>
      <c r="CK11" s="788">
        <v>50</v>
      </c>
      <c r="CL11" s="788">
        <v>50</v>
      </c>
      <c r="CM11" s="787">
        <v>821.5</v>
      </c>
      <c r="CN11" s="787">
        <v>1764</v>
      </c>
      <c r="CO11" s="787">
        <v>0</v>
      </c>
      <c r="CP11" s="787">
        <v>369</v>
      </c>
      <c r="CQ11" s="787">
        <v>0</v>
      </c>
      <c r="CR11" s="788">
        <v>0.89146341463414636</v>
      </c>
      <c r="CS11" s="787">
        <v>350</v>
      </c>
    </row>
    <row r="12" spans="1:97" ht="15.75" customHeight="1">
      <c r="A12" s="129"/>
      <c r="B12" s="129"/>
      <c r="C12" s="628"/>
      <c r="D12" s="520"/>
      <c r="E12" s="500"/>
      <c r="F12" s="129"/>
      <c r="G12" s="679" t="str">
        <f>G907</f>
        <v xml:space="preserve"> -</v>
      </c>
      <c r="H12" s="308"/>
      <c r="I12" s="308"/>
      <c r="J12" s="308"/>
      <c r="K12" s="308"/>
      <c r="L12" s="308"/>
      <c r="M12" s="308"/>
      <c r="N12" s="308"/>
      <c r="O12" s="308"/>
      <c r="P12" s="309"/>
      <c r="Q12" s="129"/>
      <c r="R12" s="736"/>
      <c r="S12" s="977"/>
      <c r="T12" s="726"/>
      <c r="U12" s="726"/>
      <c r="V12" s="726"/>
      <c r="W12" s="726"/>
      <c r="X12" s="726"/>
      <c r="Y12" s="726"/>
      <c r="Z12" s="726"/>
      <c r="AA12" s="726"/>
      <c r="AB12" s="726"/>
      <c r="AC12" s="726"/>
      <c r="AD12" s="726"/>
      <c r="AE12" s="726"/>
      <c r="AF12" s="731"/>
      <c r="AG12" s="731"/>
      <c r="AH12" s="731"/>
      <c r="AI12" s="130"/>
      <c r="AJ12" s="129"/>
      <c r="AK12" s="787"/>
      <c r="AL12" s="129"/>
      <c r="AM12" s="129"/>
      <c r="AN12" s="129"/>
      <c r="AO12" s="129"/>
      <c r="AP12" s="129"/>
      <c r="AQ12" s="129"/>
      <c r="AR12" s="129"/>
      <c r="AS12" s="129"/>
      <c r="AT12" s="129"/>
      <c r="AU12" s="129"/>
      <c r="AV12" s="129"/>
      <c r="AW12" s="129"/>
      <c r="AX12" s="129"/>
      <c r="AY12" s="129"/>
      <c r="AZ12" s="129"/>
      <c r="BA12" s="129"/>
      <c r="BB12" s="129"/>
      <c r="BC12" s="129"/>
    </row>
    <row r="13" spans="1:97" ht="15.75" customHeight="1">
      <c r="A13" s="129"/>
      <c r="B13" s="129"/>
      <c r="C13" s="628"/>
      <c r="D13" s="520"/>
      <c r="E13" s="500"/>
      <c r="F13" s="129"/>
      <c r="G13" s="722" t="str">
        <f ca="1">IF(Switch_ShowVentilationCalculator="Hide","--",IF(Menu_UseOfCalculator=Item_Use_CompleteForms,"",IF(F248&lt;&gt;"Error",IF(F248&lt;&gt;"",CONCATENATE(E248,": ",F248," ",G248," with Run Time Percent of ",F244*100,"%, ",F245, ", ",F246),""),CONCATENATE(E248,": incomplete ventilation inputs"))))</f>
        <v>Whole House Mechanical Ventilation Airflow Rate: 125 CFM with Run Time Percent of 100%, Balanced, Not Distributed</v>
      </c>
      <c r="H13" s="308"/>
      <c r="I13" s="308"/>
      <c r="J13" s="308"/>
      <c r="K13" s="308"/>
      <c r="L13" s="308"/>
      <c r="M13" s="308"/>
      <c r="N13" s="308"/>
      <c r="O13" s="308"/>
      <c r="P13" s="309"/>
      <c r="Q13" s="129"/>
      <c r="R13" s="145"/>
      <c r="S13" s="968"/>
      <c r="T13" s="726"/>
      <c r="U13" s="726"/>
      <c r="V13" s="726"/>
      <c r="W13" s="726"/>
      <c r="X13" s="726"/>
      <c r="Y13" s="726"/>
      <c r="Z13" s="726"/>
      <c r="AA13" s="726"/>
      <c r="AB13" s="726"/>
      <c r="AC13" s="726"/>
      <c r="AD13" s="726"/>
      <c r="AE13" s="726"/>
      <c r="AF13" s="731"/>
      <c r="AG13" s="731"/>
      <c r="AH13" s="731"/>
      <c r="AI13" s="130"/>
      <c r="AJ13" s="129"/>
      <c r="AK13" s="796" t="s">
        <v>2308</v>
      </c>
      <c r="AL13" s="797"/>
      <c r="AM13" s="797"/>
      <c r="AN13" s="797"/>
      <c r="AO13" s="796"/>
      <c r="AP13" s="797"/>
      <c r="AQ13" s="797"/>
      <c r="AR13" s="797"/>
      <c r="AS13" s="796" t="s">
        <v>2309</v>
      </c>
      <c r="AT13" s="797"/>
      <c r="AU13" s="797"/>
      <c r="AV13" s="797"/>
      <c r="AW13" s="796" t="s">
        <v>2309</v>
      </c>
      <c r="AX13" s="797"/>
      <c r="AY13" s="797"/>
      <c r="AZ13" s="797"/>
      <c r="BA13" s="796" t="s">
        <v>2309</v>
      </c>
      <c r="BB13" s="797"/>
      <c r="BC13" s="797"/>
      <c r="BD13" s="797"/>
      <c r="BE13" s="796" t="s">
        <v>2309</v>
      </c>
      <c r="BF13" s="797"/>
      <c r="BG13" s="797"/>
      <c r="BH13" s="797"/>
      <c r="BI13" s="796" t="s">
        <v>2309</v>
      </c>
      <c r="BJ13" s="797"/>
      <c r="BK13" s="797"/>
      <c r="BL13" s="797"/>
      <c r="BM13" s="796" t="s">
        <v>2309</v>
      </c>
      <c r="BN13" s="797"/>
      <c r="BO13" s="797"/>
      <c r="BP13" s="797"/>
      <c r="BQ13" s="797"/>
      <c r="BR13" s="797"/>
      <c r="BS13" s="797"/>
      <c r="BT13" s="797"/>
      <c r="BU13" s="797"/>
      <c r="BV13" s="797"/>
      <c r="BW13" s="797"/>
      <c r="BX13" s="797"/>
      <c r="BY13" s="797"/>
      <c r="BZ13" s="797"/>
      <c r="CA13" s="797"/>
      <c r="CB13" s="797"/>
      <c r="CC13" s="797"/>
      <c r="CD13" s="797"/>
      <c r="CE13" s="797"/>
      <c r="CF13" s="797"/>
      <c r="CG13" s="797"/>
      <c r="CH13" s="797"/>
      <c r="CI13" s="797"/>
      <c r="CJ13" s="797"/>
      <c r="CK13" s="797"/>
      <c r="CL13" s="797"/>
      <c r="CM13" s="797"/>
      <c r="CN13" s="797"/>
      <c r="CO13" s="797"/>
      <c r="CP13" s="797"/>
      <c r="CQ13" s="797"/>
      <c r="CR13" s="797"/>
      <c r="CS13" s="797"/>
    </row>
    <row r="14" spans="1:97" ht="15.75" customHeight="1">
      <c r="A14" s="129"/>
      <c r="B14" s="129"/>
      <c r="C14" s="629"/>
      <c r="D14" s="523"/>
      <c r="E14" s="501"/>
      <c r="F14" s="129"/>
      <c r="G14" s="680" t="str">
        <f>IF(Switch_ShowDistributionCalculator="Hide","--",IF(Menu_UseOfCalculator=Item_Use_CompleteForms,"",IF(Switch_DuctTestingRequired="Yes",CONCATENATE(F267,": ",ROUND(G267,0)," ",H267),"")))</f>
        <v>Maximum allowable total measured duct leakage: 84 CFM25</v>
      </c>
      <c r="H14" s="312"/>
      <c r="I14" s="312"/>
      <c r="J14" s="312"/>
      <c r="K14" s="312"/>
      <c r="L14" s="312"/>
      <c r="M14" s="312"/>
      <c r="N14" s="312"/>
      <c r="O14" s="312"/>
      <c r="P14" s="313"/>
      <c r="Q14" s="129"/>
      <c r="R14" s="145"/>
      <c r="S14" s="726"/>
      <c r="T14" s="726"/>
      <c r="U14" s="726"/>
      <c r="V14" s="726"/>
      <c r="W14" s="726"/>
      <c r="X14" s="726"/>
      <c r="Y14" s="726"/>
      <c r="Z14" s="726"/>
      <c r="AA14" s="726"/>
      <c r="AB14" s="726"/>
      <c r="AC14" s="726"/>
      <c r="AD14" s="726"/>
      <c r="AE14" s="726"/>
      <c r="AF14" s="731"/>
      <c r="AG14" s="731"/>
      <c r="AH14" s="731"/>
      <c r="AI14" s="130"/>
      <c r="AJ14" s="129"/>
      <c r="AK14" s="798">
        <v>10</v>
      </c>
      <c r="AL14" s="799" t="s">
        <v>2310</v>
      </c>
      <c r="AM14" s="800">
        <v>6</v>
      </c>
      <c r="AN14" s="800">
        <v>35.168545253125608</v>
      </c>
      <c r="AO14" s="801" t="s">
        <v>2297</v>
      </c>
      <c r="AP14" s="801">
        <v>100</v>
      </c>
      <c r="AQ14" s="801" t="s">
        <v>1357</v>
      </c>
      <c r="AR14" s="801">
        <v>50</v>
      </c>
      <c r="AS14" s="801">
        <v>1500</v>
      </c>
      <c r="AT14" s="801">
        <v>14250</v>
      </c>
      <c r="AU14" s="801">
        <v>0</v>
      </c>
      <c r="AV14" s="801">
        <v>1259</v>
      </c>
      <c r="AW14" s="801">
        <v>500</v>
      </c>
      <c r="AX14" s="801">
        <v>48.75</v>
      </c>
      <c r="AY14" s="801">
        <v>48.75</v>
      </c>
      <c r="AZ14" s="801">
        <v>48.75</v>
      </c>
      <c r="BA14" s="801">
        <v>48.75</v>
      </c>
      <c r="BB14" s="801">
        <v>40</v>
      </c>
      <c r="BC14" s="801">
        <v>1</v>
      </c>
      <c r="BD14" s="802">
        <v>500</v>
      </c>
      <c r="BE14" s="802">
        <v>90</v>
      </c>
      <c r="BF14" s="801">
        <v>1</v>
      </c>
      <c r="BG14" s="801">
        <v>2</v>
      </c>
      <c r="BH14" s="801">
        <v>28.5</v>
      </c>
      <c r="BI14" s="802">
        <v>50</v>
      </c>
      <c r="BJ14" s="801">
        <v>4.5</v>
      </c>
      <c r="BK14" s="801">
        <v>4.5</v>
      </c>
      <c r="BL14" s="801">
        <v>1</v>
      </c>
      <c r="BM14" s="802">
        <v>50</v>
      </c>
      <c r="BN14" s="801">
        <v>4</v>
      </c>
      <c r="BO14" s="801">
        <v>0</v>
      </c>
      <c r="BP14" s="801">
        <v>0</v>
      </c>
      <c r="BQ14" s="801">
        <v>1</v>
      </c>
      <c r="BR14" s="801">
        <v>0.65</v>
      </c>
      <c r="BS14" s="799" t="s">
        <v>2311</v>
      </c>
      <c r="BT14" s="799" t="s">
        <v>2299</v>
      </c>
      <c r="BU14" s="799">
        <v>1.69</v>
      </c>
      <c r="BV14" s="798">
        <v>1.69</v>
      </c>
      <c r="BW14" s="801">
        <v>1</v>
      </c>
      <c r="BX14" s="801">
        <v>9.5</v>
      </c>
      <c r="BY14" s="801">
        <v>3</v>
      </c>
      <c r="BZ14" s="802">
        <v>28.5</v>
      </c>
      <c r="CA14" s="798" t="b">
        <v>0</v>
      </c>
      <c r="CB14" s="801">
        <v>3</v>
      </c>
      <c r="CC14" s="798">
        <v>75</v>
      </c>
      <c r="CD14" s="803">
        <v>0.13</v>
      </c>
      <c r="CE14" s="799">
        <v>20</v>
      </c>
      <c r="CF14" s="799">
        <v>25</v>
      </c>
      <c r="CG14" s="801">
        <v>4</v>
      </c>
      <c r="CH14" s="799" t="b">
        <v>1</v>
      </c>
      <c r="CI14" s="798">
        <v>1500</v>
      </c>
      <c r="CJ14" s="798">
        <v>5000</v>
      </c>
      <c r="CK14" s="799">
        <v>50</v>
      </c>
      <c r="CL14" s="799">
        <v>50</v>
      </c>
      <c r="CM14" s="798">
        <v>500</v>
      </c>
      <c r="CN14" s="798">
        <v>1024</v>
      </c>
      <c r="CO14" s="798">
        <v>0</v>
      </c>
      <c r="CP14" s="798">
        <v>195</v>
      </c>
      <c r="CQ14" s="798">
        <v>0</v>
      </c>
      <c r="CR14" s="799">
        <v>0.83933333333333338</v>
      </c>
      <c r="CS14" s="798">
        <v>150</v>
      </c>
    </row>
    <row r="15" spans="1:97" ht="18.75" customHeight="1">
      <c r="A15" s="129"/>
      <c r="B15" s="129"/>
      <c r="C15" s="510"/>
      <c r="D15" s="512"/>
      <c r="E15" s="510"/>
      <c r="F15" s="129"/>
      <c r="G15" s="1132" t="s">
        <v>2805</v>
      </c>
      <c r="H15" s="1132"/>
      <c r="I15" s="1132"/>
      <c r="J15" s="1132"/>
      <c r="K15" s="1132"/>
      <c r="L15" s="1132"/>
      <c r="M15" s="1132"/>
      <c r="N15" s="1132"/>
      <c r="O15" s="1132"/>
      <c r="P15" s="1132"/>
      <c r="Q15" s="129"/>
      <c r="R15" s="145"/>
      <c r="S15" s="726"/>
      <c r="T15" s="726"/>
      <c r="U15" s="726"/>
      <c r="V15" s="726"/>
      <c r="W15" s="726"/>
      <c r="X15" s="726"/>
      <c r="Y15" s="726"/>
      <c r="Z15" s="726"/>
      <c r="AA15" s="726"/>
      <c r="AB15" s="726"/>
      <c r="AC15" s="726"/>
      <c r="AD15" s="726"/>
      <c r="AE15" s="726"/>
      <c r="AF15" s="731"/>
      <c r="AG15" s="731"/>
      <c r="AH15" s="731"/>
      <c r="AI15" s="130"/>
      <c r="AJ15" s="129"/>
      <c r="AK15" s="787">
        <f>AK14+1</f>
        <v>11</v>
      </c>
      <c r="AL15" s="799" t="s">
        <v>2312</v>
      </c>
      <c r="AM15" s="800">
        <v>6</v>
      </c>
      <c r="AN15" s="800">
        <v>35.168545253125608</v>
      </c>
      <c r="AO15" s="801" t="s">
        <v>1357</v>
      </c>
      <c r="AP15" s="801">
        <v>20</v>
      </c>
      <c r="AQ15" s="801" t="s">
        <v>1357</v>
      </c>
      <c r="AR15" s="801">
        <v>50</v>
      </c>
      <c r="AS15" s="801">
        <v>1500</v>
      </c>
      <c r="AT15" s="801">
        <v>14250</v>
      </c>
      <c r="AU15" s="801">
        <v>0</v>
      </c>
      <c r="AV15" s="801">
        <v>1259</v>
      </c>
      <c r="AW15" s="801">
        <v>500</v>
      </c>
      <c r="AX15" s="801">
        <v>48.75</v>
      </c>
      <c r="AY15" s="801">
        <v>48.75</v>
      </c>
      <c r="AZ15" s="801">
        <v>48.75</v>
      </c>
      <c r="BA15" s="801">
        <v>48.75</v>
      </c>
      <c r="BB15" s="801">
        <v>40</v>
      </c>
      <c r="BC15" s="801">
        <v>2</v>
      </c>
      <c r="BD15" s="802">
        <v>500</v>
      </c>
      <c r="BE15" s="802">
        <v>90</v>
      </c>
      <c r="BF15" s="801">
        <v>0</v>
      </c>
      <c r="BG15" s="801">
        <v>0</v>
      </c>
      <c r="BH15" s="801">
        <v>28.5</v>
      </c>
      <c r="BI15" s="802">
        <v>50</v>
      </c>
      <c r="BJ15" s="801">
        <v>4.5</v>
      </c>
      <c r="BK15" s="801">
        <v>4.5</v>
      </c>
      <c r="BL15" s="801">
        <v>1</v>
      </c>
      <c r="BM15" s="802">
        <v>50</v>
      </c>
      <c r="BN15" s="801">
        <v>4</v>
      </c>
      <c r="BO15" s="801">
        <v>0</v>
      </c>
      <c r="BP15" s="801">
        <v>0</v>
      </c>
      <c r="BQ15" s="801">
        <v>1</v>
      </c>
      <c r="BR15" s="801">
        <v>0.65</v>
      </c>
      <c r="BS15" s="799" t="s">
        <v>2311</v>
      </c>
      <c r="BT15" s="799" t="s">
        <v>2299</v>
      </c>
      <c r="BU15" s="799">
        <v>1.69</v>
      </c>
      <c r="BV15" s="798">
        <v>1.69</v>
      </c>
      <c r="BW15" s="801">
        <v>1</v>
      </c>
      <c r="BX15" s="801">
        <v>9.5</v>
      </c>
      <c r="BY15" s="801">
        <v>3</v>
      </c>
      <c r="BZ15" s="802">
        <v>28.5</v>
      </c>
      <c r="CA15" s="798" t="b">
        <v>0</v>
      </c>
      <c r="CB15" s="801">
        <v>3</v>
      </c>
      <c r="CC15" s="798">
        <v>75</v>
      </c>
      <c r="CD15" s="803">
        <v>0.13</v>
      </c>
      <c r="CE15" s="799">
        <v>20</v>
      </c>
      <c r="CF15" s="799">
        <v>25</v>
      </c>
      <c r="CG15" s="801">
        <v>5</v>
      </c>
      <c r="CH15" s="799" t="b">
        <v>1</v>
      </c>
      <c r="CI15" s="798">
        <v>1500</v>
      </c>
      <c r="CJ15" s="798">
        <v>5000</v>
      </c>
      <c r="CK15" s="799">
        <v>50</v>
      </c>
      <c r="CL15" s="799">
        <v>50</v>
      </c>
      <c r="CM15" s="798">
        <v>0</v>
      </c>
      <c r="CN15" s="798">
        <v>1024</v>
      </c>
      <c r="CO15" s="798">
        <v>0</v>
      </c>
      <c r="CP15" s="798">
        <v>195</v>
      </c>
      <c r="CQ15" s="798">
        <v>500</v>
      </c>
      <c r="CR15" s="799">
        <v>0.83933333333333338</v>
      </c>
      <c r="CS15" s="798">
        <v>70</v>
      </c>
    </row>
    <row r="16" spans="1:97" ht="16.5" customHeight="1">
      <c r="A16" s="129"/>
      <c r="B16" s="491"/>
      <c r="C16" s="304" t="s">
        <v>2416</v>
      </c>
      <c r="D16" s="492"/>
      <c r="E16" s="492"/>
      <c r="F16" s="207"/>
      <c r="G16" s="207"/>
      <c r="H16" s="207"/>
      <c r="I16" s="207"/>
      <c r="J16" s="207"/>
      <c r="K16" s="207"/>
      <c r="L16" s="207"/>
      <c r="M16" s="492"/>
      <c r="N16" s="207"/>
      <c r="O16" s="207"/>
      <c r="P16" s="208"/>
      <c r="Q16" s="129"/>
      <c r="R16" s="145"/>
      <c r="S16" s="726"/>
      <c r="T16" s="726"/>
      <c r="U16" s="726"/>
      <c r="V16" s="726"/>
      <c r="W16" s="726"/>
      <c r="X16" s="726"/>
      <c r="Y16" s="726"/>
      <c r="Z16" s="726"/>
      <c r="AA16" s="726"/>
      <c r="AB16" s="726"/>
      <c r="AC16" s="726"/>
      <c r="AD16" s="726"/>
      <c r="AE16" s="726"/>
      <c r="AF16" s="731"/>
      <c r="AG16" s="731"/>
      <c r="AH16" s="731"/>
      <c r="AI16" s="130"/>
      <c r="AJ16" s="476" t="s">
        <v>2380</v>
      </c>
      <c r="AK16" s="787">
        <f t="shared" ref="AK16:AK21" si="0">AK15+1</f>
        <v>12</v>
      </c>
      <c r="AL16" s="799" t="s">
        <v>2313</v>
      </c>
      <c r="AM16" s="800">
        <v>6</v>
      </c>
      <c r="AN16" s="800">
        <v>35.168545253125608</v>
      </c>
      <c r="AO16" s="801" t="s">
        <v>2303</v>
      </c>
      <c r="AP16" s="801">
        <v>0</v>
      </c>
      <c r="AQ16" s="801" t="s">
        <v>2303</v>
      </c>
      <c r="AR16" s="801">
        <v>0</v>
      </c>
      <c r="AS16" s="801">
        <v>26400</v>
      </c>
      <c r="AT16" s="801">
        <v>237600</v>
      </c>
      <c r="AU16" s="801">
        <v>0</v>
      </c>
      <c r="AV16" s="801">
        <v>10152</v>
      </c>
      <c r="AW16" s="801">
        <v>8800</v>
      </c>
      <c r="AX16" s="801">
        <v>990</v>
      </c>
      <c r="AY16" s="801">
        <v>990</v>
      </c>
      <c r="AZ16" s="801">
        <v>990</v>
      </c>
      <c r="BA16" s="801">
        <v>990</v>
      </c>
      <c r="BB16" s="801">
        <v>84</v>
      </c>
      <c r="BC16" s="801">
        <v>2</v>
      </c>
      <c r="BD16" s="802">
        <v>8800</v>
      </c>
      <c r="BE16" s="802">
        <v>376</v>
      </c>
      <c r="BF16" s="801">
        <v>0</v>
      </c>
      <c r="BG16" s="801">
        <v>0</v>
      </c>
      <c r="BH16" s="801">
        <v>27</v>
      </c>
      <c r="BI16" s="802">
        <v>1200</v>
      </c>
      <c r="BJ16" s="801">
        <v>4.5</v>
      </c>
      <c r="BK16" s="801">
        <v>4.5</v>
      </c>
      <c r="BL16" s="801">
        <v>1</v>
      </c>
      <c r="BM16" s="802">
        <v>1200</v>
      </c>
      <c r="BN16" s="801">
        <v>4</v>
      </c>
      <c r="BO16" s="801">
        <v>0</v>
      </c>
      <c r="BP16" s="801">
        <v>0</v>
      </c>
      <c r="BQ16" s="801">
        <v>1</v>
      </c>
      <c r="BR16" s="801">
        <v>0.65</v>
      </c>
      <c r="BS16" s="799" t="s">
        <v>2314</v>
      </c>
      <c r="BT16" s="799" t="s">
        <v>2307</v>
      </c>
      <c r="BU16" s="799">
        <v>1.69</v>
      </c>
      <c r="BV16" s="798">
        <v>40.56</v>
      </c>
      <c r="BW16" s="801">
        <v>24</v>
      </c>
      <c r="BX16" s="801">
        <v>9</v>
      </c>
      <c r="BY16" s="801">
        <v>3</v>
      </c>
      <c r="BZ16" s="802">
        <v>27</v>
      </c>
      <c r="CA16" s="798" t="b">
        <v>1</v>
      </c>
      <c r="CB16" s="801">
        <v>2</v>
      </c>
      <c r="CC16" s="798">
        <v>1332</v>
      </c>
      <c r="CD16" s="803">
        <v>0.15</v>
      </c>
      <c r="CE16" s="799">
        <v>88</v>
      </c>
      <c r="CF16" s="799">
        <v>100</v>
      </c>
      <c r="CG16" s="801">
        <v>6</v>
      </c>
      <c r="CH16" s="799" t="b">
        <v>1</v>
      </c>
      <c r="CI16" s="798">
        <v>1100</v>
      </c>
      <c r="CJ16" s="798">
        <v>1500</v>
      </c>
      <c r="CK16" s="799">
        <v>50</v>
      </c>
      <c r="CL16" s="799">
        <v>50</v>
      </c>
      <c r="CM16" s="798">
        <v>0</v>
      </c>
      <c r="CN16" s="798">
        <v>6108</v>
      </c>
      <c r="CO16" s="798">
        <v>0</v>
      </c>
      <c r="CP16" s="798">
        <v>3960</v>
      </c>
      <c r="CQ16" s="798">
        <v>8800</v>
      </c>
      <c r="CR16" s="799">
        <v>0.38454545454545452</v>
      </c>
      <c r="CS16" s="798">
        <v>0</v>
      </c>
    </row>
    <row r="17" spans="1:97" ht="15.75" customHeight="1">
      <c r="A17" s="129"/>
      <c r="B17" s="129"/>
      <c r="C17" s="220"/>
      <c r="D17" s="225"/>
      <c r="E17" s="502" t="s">
        <v>2481</v>
      </c>
      <c r="F17" s="1138" t="s">
        <v>2407</v>
      </c>
      <c r="G17" s="1209"/>
      <c r="H17" s="1209"/>
      <c r="I17" s="1209"/>
      <c r="J17" s="1209"/>
      <c r="K17" s="1209"/>
      <c r="L17" s="1210"/>
      <c r="M17" s="1053" t="str">
        <f>IF(Menu_ProjectType="","Error: Select from drop down",(IF(AND(Menu_ProjectType=Item_ProjectType_RemodelAlteration,Menu_UseOfCalculator=MenuItem_UFactorPath),"Error: For Remodels, select User-Defined Baseline.","")))</f>
        <v/>
      </c>
      <c r="N17" s="212"/>
      <c r="O17" s="212"/>
      <c r="P17" s="493"/>
      <c r="Q17" s="131"/>
      <c r="R17" s="145"/>
      <c r="S17" s="726"/>
      <c r="T17" s="726"/>
      <c r="U17" s="726"/>
      <c r="V17" s="726"/>
      <c r="W17" s="726"/>
      <c r="X17" s="726"/>
      <c r="Y17" s="726"/>
      <c r="Z17" s="726"/>
      <c r="AA17" s="726"/>
      <c r="AB17" s="726"/>
      <c r="AC17" s="726"/>
      <c r="AD17" s="726"/>
      <c r="AE17" s="726"/>
      <c r="AF17" s="731"/>
      <c r="AG17" s="732"/>
      <c r="AH17" s="733"/>
      <c r="AI17" s="130"/>
      <c r="AJ17" s="129"/>
      <c r="AK17" s="787">
        <f t="shared" si="0"/>
        <v>13</v>
      </c>
      <c r="AL17" s="799" t="s">
        <v>2315</v>
      </c>
      <c r="AM17" s="800">
        <v>4</v>
      </c>
      <c r="AN17" s="800">
        <v>17.584272626562804</v>
      </c>
      <c r="AO17" s="801" t="s">
        <v>2303</v>
      </c>
      <c r="AP17" s="801">
        <v>280</v>
      </c>
      <c r="AQ17" s="801" t="s">
        <v>2303</v>
      </c>
      <c r="AR17" s="801">
        <v>70</v>
      </c>
      <c r="AS17" s="801">
        <v>1904</v>
      </c>
      <c r="AT17" s="801">
        <v>16184</v>
      </c>
      <c r="AU17" s="801">
        <v>0</v>
      </c>
      <c r="AV17" s="801">
        <v>1632</v>
      </c>
      <c r="AW17" s="801">
        <v>952</v>
      </c>
      <c r="AX17" s="801">
        <v>71.399999999999991</v>
      </c>
      <c r="AY17" s="801">
        <v>71.399999999999991</v>
      </c>
      <c r="AZ17" s="801">
        <v>71.399999999999991</v>
      </c>
      <c r="BA17" s="801">
        <v>71.399999999999991</v>
      </c>
      <c r="BB17" s="801">
        <v>40</v>
      </c>
      <c r="BC17" s="801">
        <v>1</v>
      </c>
      <c r="BD17" s="802">
        <v>952</v>
      </c>
      <c r="BE17" s="801">
        <v>96</v>
      </c>
      <c r="BF17" s="801">
        <v>1</v>
      </c>
      <c r="BG17" s="801">
        <v>2</v>
      </c>
      <c r="BH17" s="801">
        <v>17</v>
      </c>
      <c r="BI17" s="802">
        <v>100</v>
      </c>
      <c r="BJ17" s="801">
        <v>4.5</v>
      </c>
      <c r="BK17" s="801">
        <v>4.5</v>
      </c>
      <c r="BL17" s="801">
        <v>1</v>
      </c>
      <c r="BM17" s="802">
        <v>100</v>
      </c>
      <c r="BN17" s="801">
        <v>4</v>
      </c>
      <c r="BO17" s="801">
        <v>0</v>
      </c>
      <c r="BP17" s="801">
        <v>0</v>
      </c>
      <c r="BQ17" s="801">
        <v>1</v>
      </c>
      <c r="BR17" s="801">
        <v>0.65</v>
      </c>
      <c r="BS17" s="799" t="s">
        <v>2306</v>
      </c>
      <c r="BT17" s="799" t="s">
        <v>2307</v>
      </c>
      <c r="BU17" s="799">
        <v>1.69</v>
      </c>
      <c r="BV17" s="798">
        <v>3.38</v>
      </c>
      <c r="BW17" s="801">
        <v>2</v>
      </c>
      <c r="BX17" s="801">
        <v>8.5</v>
      </c>
      <c r="BY17" s="801">
        <v>2</v>
      </c>
      <c r="BZ17" s="802">
        <v>17</v>
      </c>
      <c r="CA17" s="798" t="b">
        <v>1</v>
      </c>
      <c r="CB17" s="799">
        <v>2</v>
      </c>
      <c r="CC17" s="798">
        <v>102.12</v>
      </c>
      <c r="CD17" s="803">
        <v>0.15</v>
      </c>
      <c r="CE17" s="799">
        <v>28</v>
      </c>
      <c r="CF17" s="799">
        <v>34</v>
      </c>
      <c r="CG17" s="799">
        <v>7</v>
      </c>
      <c r="CH17" s="799" t="b">
        <v>0</v>
      </c>
      <c r="CI17" s="798">
        <v>952</v>
      </c>
      <c r="CJ17" s="798">
        <v>1500</v>
      </c>
      <c r="CK17" s="799">
        <v>50</v>
      </c>
      <c r="CL17" s="799">
        <v>50</v>
      </c>
      <c r="CM17" s="798">
        <v>952</v>
      </c>
      <c r="CN17" s="798">
        <v>1306.4000000000001</v>
      </c>
      <c r="CO17" s="798">
        <v>0</v>
      </c>
      <c r="CP17" s="798">
        <v>285.59999999999997</v>
      </c>
      <c r="CQ17" s="798">
        <v>0</v>
      </c>
      <c r="CR17" s="799">
        <v>0.8571428571428571</v>
      </c>
      <c r="CS17" s="798">
        <v>350</v>
      </c>
    </row>
    <row r="18" spans="1:97" ht="15.75" customHeight="1">
      <c r="A18" s="129"/>
      <c r="B18" s="129"/>
      <c r="C18" s="220"/>
      <c r="D18" s="225"/>
      <c r="E18" s="502" t="s">
        <v>2483</v>
      </c>
      <c r="F18" s="1213" t="s">
        <v>2220</v>
      </c>
      <c r="G18" s="1213"/>
      <c r="H18" s="1213"/>
      <c r="I18" s="1213"/>
      <c r="J18" s="449" t="str">
        <f>IF(Menu_ProjectType="","Error: Select from drop down",(IF(AND(Menu_ProjectType=Item_ProjectType_RemodelAlteration,Menu_UseOfCalculator=MenuItem_UFactorPath),"Or, select either New Construction or Addition with this compliance path.",IF(AND(Menu_UseOfCalculator=MenuItem_UserDefinedBaseline,Menu_ProjectType&lt;&gt;Item_ProjectType_RemodelAlteration),"Select Addition / Remodel / Alteration with this Path",""))))</f>
        <v/>
      </c>
      <c r="K18" s="221"/>
      <c r="L18" s="221"/>
      <c r="M18" s="221"/>
      <c r="N18" s="212"/>
      <c r="O18" s="222"/>
      <c r="P18" s="223"/>
      <c r="Q18" s="131"/>
      <c r="R18" s="145"/>
      <c r="S18" s="726"/>
      <c r="T18" s="726"/>
      <c r="U18" s="726"/>
      <c r="V18" s="726"/>
      <c r="W18" s="726"/>
      <c r="X18" s="726"/>
      <c r="Y18" s="726"/>
      <c r="Z18" s="726"/>
      <c r="AA18" s="726"/>
      <c r="AB18" s="726"/>
      <c r="AC18" s="726"/>
      <c r="AD18" s="726"/>
      <c r="AE18" s="726"/>
      <c r="AF18" s="781">
        <f>IF(J18&lt;&gt;"",1,0)</f>
        <v>0</v>
      </c>
      <c r="AG18" s="731"/>
      <c r="AH18" s="733"/>
      <c r="AI18" s="130"/>
      <c r="AJ18" s="129"/>
      <c r="AK18" s="787">
        <f t="shared" si="0"/>
        <v>14</v>
      </c>
      <c r="AL18" s="799" t="s">
        <v>2316</v>
      </c>
      <c r="AM18" s="800">
        <v>6</v>
      </c>
      <c r="AN18" s="800">
        <v>23.445696835417071</v>
      </c>
      <c r="AO18" s="801" t="s">
        <v>2303</v>
      </c>
      <c r="AP18" s="801">
        <v>280</v>
      </c>
      <c r="AQ18" s="801" t="s">
        <v>2303</v>
      </c>
      <c r="AR18" s="801">
        <v>70</v>
      </c>
      <c r="AS18" s="801">
        <v>2856</v>
      </c>
      <c r="AT18" s="801">
        <v>24276</v>
      </c>
      <c r="AU18" s="801">
        <v>0</v>
      </c>
      <c r="AV18" s="801">
        <v>2448</v>
      </c>
      <c r="AW18" s="801">
        <v>952</v>
      </c>
      <c r="AX18" s="801">
        <v>107.1</v>
      </c>
      <c r="AY18" s="801">
        <v>107.1</v>
      </c>
      <c r="AZ18" s="801">
        <v>107.1</v>
      </c>
      <c r="BA18" s="801">
        <v>107.1</v>
      </c>
      <c r="BB18" s="801">
        <v>60</v>
      </c>
      <c r="BC18" s="801">
        <v>1</v>
      </c>
      <c r="BD18" s="802">
        <v>952</v>
      </c>
      <c r="BE18" s="801">
        <v>96</v>
      </c>
      <c r="BF18" s="801">
        <v>1</v>
      </c>
      <c r="BG18" s="801">
        <v>2</v>
      </c>
      <c r="BH18" s="801">
        <v>25.5</v>
      </c>
      <c r="BI18" s="802">
        <v>150</v>
      </c>
      <c r="BJ18" s="801">
        <v>4.5</v>
      </c>
      <c r="BK18" s="801">
        <v>4.5</v>
      </c>
      <c r="BL18" s="801">
        <v>1</v>
      </c>
      <c r="BM18" s="802">
        <v>150</v>
      </c>
      <c r="BN18" s="801">
        <v>4</v>
      </c>
      <c r="BO18" s="801">
        <v>0</v>
      </c>
      <c r="BP18" s="801">
        <v>0</v>
      </c>
      <c r="BQ18" s="801">
        <v>1</v>
      </c>
      <c r="BR18" s="801">
        <v>0.65</v>
      </c>
      <c r="BS18" s="799" t="s">
        <v>2306</v>
      </c>
      <c r="BT18" s="799" t="s">
        <v>2307</v>
      </c>
      <c r="BU18" s="799">
        <v>1.69</v>
      </c>
      <c r="BV18" s="798">
        <v>5.07</v>
      </c>
      <c r="BW18" s="801">
        <v>3</v>
      </c>
      <c r="BX18" s="801">
        <v>8.5</v>
      </c>
      <c r="BY18" s="801">
        <v>3</v>
      </c>
      <c r="BZ18" s="802">
        <v>25.5</v>
      </c>
      <c r="CA18" s="798" t="b">
        <v>1</v>
      </c>
      <c r="CB18" s="799">
        <v>2</v>
      </c>
      <c r="CC18" s="798">
        <v>153.18</v>
      </c>
      <c r="CD18" s="803">
        <v>0.15</v>
      </c>
      <c r="CE18" s="799">
        <v>28</v>
      </c>
      <c r="CF18" s="799">
        <v>34</v>
      </c>
      <c r="CG18" s="801">
        <v>7</v>
      </c>
      <c r="CH18" s="799" t="b">
        <v>0</v>
      </c>
      <c r="CI18" s="798">
        <v>952</v>
      </c>
      <c r="CJ18" s="798">
        <v>1500</v>
      </c>
      <c r="CK18" s="799">
        <v>50</v>
      </c>
      <c r="CL18" s="799">
        <v>50</v>
      </c>
      <c r="CM18" s="798">
        <v>952</v>
      </c>
      <c r="CN18" s="798">
        <v>1959.6</v>
      </c>
      <c r="CO18" s="798">
        <v>0</v>
      </c>
      <c r="CP18" s="798">
        <v>428.4</v>
      </c>
      <c r="CQ18" s="798">
        <v>0</v>
      </c>
      <c r="CR18" s="799">
        <v>0.8571428571428571</v>
      </c>
      <c r="CS18" s="798">
        <v>350</v>
      </c>
    </row>
    <row r="19" spans="1:97" ht="15.75" customHeight="1">
      <c r="A19" s="129"/>
      <c r="B19" s="129"/>
      <c r="C19" s="220"/>
      <c r="D19" s="225"/>
      <c r="E19" s="502" t="s">
        <v>2417</v>
      </c>
      <c r="F19" s="1137" t="s">
        <v>2230</v>
      </c>
      <c r="G19" s="1137"/>
      <c r="H19" s="1137"/>
      <c r="I19" s="1137"/>
      <c r="J19" s="449" t="str">
        <f>IF(ISERROR(VLOOKUP(F19,N399:N400,1,FALSE)),"Error: Select option from drop down","")</f>
        <v/>
      </c>
      <c r="K19" s="221"/>
      <c r="L19" s="221"/>
      <c r="M19" s="221"/>
      <c r="N19" s="212"/>
      <c r="O19" s="222"/>
      <c r="P19" s="223"/>
      <c r="Q19" s="129"/>
      <c r="R19" s="145"/>
      <c r="S19" s="726"/>
      <c r="T19" s="726"/>
      <c r="U19" s="726"/>
      <c r="V19" s="726"/>
      <c r="W19" s="726"/>
      <c r="X19" s="726"/>
      <c r="Y19" s="726"/>
      <c r="Z19" s="726"/>
      <c r="AA19" s="726"/>
      <c r="AB19" s="726"/>
      <c r="AC19" s="726"/>
      <c r="AD19" s="726"/>
      <c r="AE19" s="726"/>
      <c r="AF19" s="781">
        <f>IF(J19&lt;&gt;"",1,0)</f>
        <v>0</v>
      </c>
      <c r="AG19" s="731"/>
      <c r="AH19" s="731"/>
      <c r="AI19" s="130"/>
      <c r="AJ19" s="129"/>
      <c r="AK19" s="787">
        <f t="shared" si="0"/>
        <v>15</v>
      </c>
      <c r="AL19" s="799" t="s">
        <v>2317</v>
      </c>
      <c r="AM19" s="800">
        <v>4</v>
      </c>
      <c r="AN19" s="800">
        <v>17.584272626562804</v>
      </c>
      <c r="AO19" s="801" t="s">
        <v>2303</v>
      </c>
      <c r="AP19" s="801">
        <v>280</v>
      </c>
      <c r="AQ19" s="801" t="s">
        <v>2303</v>
      </c>
      <c r="AR19" s="801">
        <v>70</v>
      </c>
      <c r="AS19" s="801">
        <v>1904</v>
      </c>
      <c r="AT19" s="801">
        <v>16184</v>
      </c>
      <c r="AU19" s="801">
        <v>0</v>
      </c>
      <c r="AV19" s="801">
        <v>1632</v>
      </c>
      <c r="AW19" s="801">
        <v>952</v>
      </c>
      <c r="AX19" s="801">
        <v>71.399999999999991</v>
      </c>
      <c r="AY19" s="801">
        <v>71.399999999999991</v>
      </c>
      <c r="AZ19" s="801">
        <v>71.399999999999991</v>
      </c>
      <c r="BA19" s="801">
        <v>71.399999999999991</v>
      </c>
      <c r="BB19" s="801">
        <v>40</v>
      </c>
      <c r="BC19" s="801">
        <v>2</v>
      </c>
      <c r="BD19" s="802">
        <v>952</v>
      </c>
      <c r="BE19" s="801">
        <v>96</v>
      </c>
      <c r="BF19" s="801">
        <v>0</v>
      </c>
      <c r="BG19" s="801">
        <v>0</v>
      </c>
      <c r="BH19" s="801">
        <v>17</v>
      </c>
      <c r="BI19" s="802">
        <v>100</v>
      </c>
      <c r="BJ19" s="801">
        <v>4.5</v>
      </c>
      <c r="BK19" s="801">
        <v>4.5</v>
      </c>
      <c r="BL19" s="801">
        <v>1</v>
      </c>
      <c r="BM19" s="802">
        <v>100</v>
      </c>
      <c r="BN19" s="801">
        <v>4</v>
      </c>
      <c r="BO19" s="801">
        <v>0</v>
      </c>
      <c r="BP19" s="801">
        <v>0</v>
      </c>
      <c r="BQ19" s="801">
        <v>1</v>
      </c>
      <c r="BR19" s="801">
        <v>0.65</v>
      </c>
      <c r="BS19" s="799" t="s">
        <v>2306</v>
      </c>
      <c r="BT19" s="799" t="s">
        <v>2307</v>
      </c>
      <c r="BU19" s="799">
        <v>1.69</v>
      </c>
      <c r="BV19" s="798">
        <v>3.38</v>
      </c>
      <c r="BW19" s="801">
        <v>2</v>
      </c>
      <c r="BX19" s="801">
        <v>8.5</v>
      </c>
      <c r="BY19" s="801">
        <v>2</v>
      </c>
      <c r="BZ19" s="802">
        <v>17</v>
      </c>
      <c r="CA19" s="798" t="b">
        <v>1</v>
      </c>
      <c r="CB19" s="799">
        <v>2</v>
      </c>
      <c r="CC19" s="798">
        <v>102.12</v>
      </c>
      <c r="CD19" s="803">
        <v>0.15</v>
      </c>
      <c r="CE19" s="799">
        <v>28</v>
      </c>
      <c r="CF19" s="799">
        <v>34</v>
      </c>
      <c r="CG19" s="801">
        <v>7</v>
      </c>
      <c r="CH19" s="799" t="b">
        <v>0</v>
      </c>
      <c r="CI19" s="798">
        <v>952</v>
      </c>
      <c r="CJ19" s="798">
        <v>1500</v>
      </c>
      <c r="CK19" s="799">
        <v>50</v>
      </c>
      <c r="CL19" s="799">
        <v>50</v>
      </c>
      <c r="CM19" s="798">
        <v>0</v>
      </c>
      <c r="CN19" s="798">
        <v>1306.4000000000001</v>
      </c>
      <c r="CO19" s="798">
        <v>0</v>
      </c>
      <c r="CP19" s="798">
        <v>285.59999999999997</v>
      </c>
      <c r="CQ19" s="798">
        <v>952</v>
      </c>
      <c r="CR19" s="799">
        <v>0.8571428571428571</v>
      </c>
      <c r="CS19" s="798">
        <v>350</v>
      </c>
    </row>
    <row r="20" spans="1:97" ht="15.75" customHeight="1">
      <c r="A20" s="129"/>
      <c r="B20" s="129"/>
      <c r="C20" s="220"/>
      <c r="D20" s="225"/>
      <c r="E20" s="502" t="s">
        <v>2418</v>
      </c>
      <c r="F20" s="1137" t="s">
        <v>2851</v>
      </c>
      <c r="G20" s="1137"/>
      <c r="H20" s="1137"/>
      <c r="I20" s="1137"/>
      <c r="J20" s="983" t="str">
        <f>IF(ISERROR(VLOOKUP(F20,K399:K400,1,FALSE)),"Error: Select option from drop down","")</f>
        <v/>
      </c>
      <c r="K20" s="211"/>
      <c r="L20" s="211"/>
      <c r="M20" s="211"/>
      <c r="N20" s="212"/>
      <c r="O20" s="222"/>
      <c r="P20" s="223"/>
      <c r="Q20" s="129"/>
      <c r="R20" s="145"/>
      <c r="S20" s="726"/>
      <c r="T20" s="726"/>
      <c r="U20" s="726"/>
      <c r="V20" s="726"/>
      <c r="W20" s="726"/>
      <c r="X20" s="726"/>
      <c r="Y20" s="726"/>
      <c r="Z20" s="726"/>
      <c r="AA20" s="726"/>
      <c r="AB20" s="726"/>
      <c r="AC20" s="726"/>
      <c r="AD20" s="726"/>
      <c r="AE20" s="726"/>
      <c r="AF20" s="781">
        <f>IF(Menu_CodeVersion="WSEC 2021",0,IF(J20&lt;&gt;"",1,0))</f>
        <v>0</v>
      </c>
      <c r="AG20" s="731"/>
      <c r="AH20" s="731"/>
      <c r="AI20" s="130"/>
      <c r="AJ20" s="129"/>
      <c r="AK20" s="787">
        <f t="shared" si="0"/>
        <v>16</v>
      </c>
      <c r="AL20" s="799" t="s">
        <v>2318</v>
      </c>
      <c r="AM20" s="800">
        <v>6</v>
      </c>
      <c r="AN20" s="800">
        <v>23.445696835417071</v>
      </c>
      <c r="AO20" s="801" t="s">
        <v>2303</v>
      </c>
      <c r="AP20" s="801">
        <v>280</v>
      </c>
      <c r="AQ20" s="801" t="s">
        <v>2303</v>
      </c>
      <c r="AR20" s="801">
        <v>70</v>
      </c>
      <c r="AS20" s="801">
        <v>2856</v>
      </c>
      <c r="AT20" s="801">
        <v>24276</v>
      </c>
      <c r="AU20" s="801">
        <v>0</v>
      </c>
      <c r="AV20" s="801">
        <v>2448</v>
      </c>
      <c r="AW20" s="801">
        <v>952</v>
      </c>
      <c r="AX20" s="801">
        <v>107.1</v>
      </c>
      <c r="AY20" s="801">
        <v>107.1</v>
      </c>
      <c r="AZ20" s="801">
        <v>107.1</v>
      </c>
      <c r="BA20" s="801">
        <v>107.1</v>
      </c>
      <c r="BB20" s="801">
        <v>60</v>
      </c>
      <c r="BC20" s="801">
        <v>2</v>
      </c>
      <c r="BD20" s="802">
        <v>952</v>
      </c>
      <c r="BE20" s="801">
        <v>96</v>
      </c>
      <c r="BF20" s="801">
        <v>0</v>
      </c>
      <c r="BG20" s="801">
        <v>0</v>
      </c>
      <c r="BH20" s="801">
        <v>25.5</v>
      </c>
      <c r="BI20" s="802">
        <v>150</v>
      </c>
      <c r="BJ20" s="801">
        <v>4.5</v>
      </c>
      <c r="BK20" s="801">
        <v>4.5</v>
      </c>
      <c r="BL20" s="801">
        <v>1</v>
      </c>
      <c r="BM20" s="802">
        <v>150</v>
      </c>
      <c r="BN20" s="801">
        <v>4</v>
      </c>
      <c r="BO20" s="801">
        <v>0</v>
      </c>
      <c r="BP20" s="801">
        <v>0</v>
      </c>
      <c r="BQ20" s="801">
        <v>1</v>
      </c>
      <c r="BR20" s="801">
        <v>0.65</v>
      </c>
      <c r="BS20" s="799" t="s">
        <v>2306</v>
      </c>
      <c r="BT20" s="799" t="s">
        <v>2307</v>
      </c>
      <c r="BU20" s="799">
        <v>1.69</v>
      </c>
      <c r="BV20" s="798">
        <v>5.07</v>
      </c>
      <c r="BW20" s="801">
        <v>3</v>
      </c>
      <c r="BX20" s="801">
        <v>8.5</v>
      </c>
      <c r="BY20" s="801">
        <v>3</v>
      </c>
      <c r="BZ20" s="802">
        <v>25.5</v>
      </c>
      <c r="CA20" s="798" t="b">
        <v>1</v>
      </c>
      <c r="CB20" s="799">
        <v>2</v>
      </c>
      <c r="CC20" s="798">
        <v>153.18</v>
      </c>
      <c r="CD20" s="803">
        <v>0.15</v>
      </c>
      <c r="CE20" s="799">
        <v>28</v>
      </c>
      <c r="CF20" s="799">
        <v>34</v>
      </c>
      <c r="CG20" s="801">
        <v>7</v>
      </c>
      <c r="CH20" s="799" t="b">
        <v>0</v>
      </c>
      <c r="CI20" s="798">
        <v>952</v>
      </c>
      <c r="CJ20" s="798">
        <v>1500</v>
      </c>
      <c r="CK20" s="799">
        <v>50</v>
      </c>
      <c r="CL20" s="799">
        <v>50</v>
      </c>
      <c r="CM20" s="798">
        <v>0</v>
      </c>
      <c r="CN20" s="798">
        <v>1959.6</v>
      </c>
      <c r="CO20" s="798">
        <v>0</v>
      </c>
      <c r="CP20" s="798">
        <v>428.4</v>
      </c>
      <c r="CQ20" s="798">
        <v>952</v>
      </c>
      <c r="CR20" s="799">
        <v>0.8571428571428571</v>
      </c>
      <c r="CS20" s="798">
        <v>350</v>
      </c>
    </row>
    <row r="21" spans="1:97" ht="15.75" customHeight="1">
      <c r="A21" s="129"/>
      <c r="B21" s="129"/>
      <c r="C21" s="220"/>
      <c r="D21" s="225"/>
      <c r="E21" s="544" t="s">
        <v>2484</v>
      </c>
      <c r="F21" s="450" t="str">
        <f>IF($H$65&gt;0,CONCATENATE($F$399," -- ",ROUND(H65,0)," sq. ft."),"Enter floor area below to determine classification")</f>
        <v>Medium Dwelling Unit -- 2100 sq. ft.</v>
      </c>
      <c r="G21" s="211"/>
      <c r="H21" s="211"/>
      <c r="I21" s="211"/>
      <c r="J21" s="211"/>
      <c r="K21" s="211"/>
      <c r="L21" s="211"/>
      <c r="M21" s="211"/>
      <c r="N21" s="212"/>
      <c r="O21" s="222"/>
      <c r="P21" s="223"/>
      <c r="Q21" s="129"/>
      <c r="R21" s="145"/>
      <c r="S21" s="726"/>
      <c r="T21" s="726"/>
      <c r="U21" s="726"/>
      <c r="V21" s="726"/>
      <c r="W21" s="726"/>
      <c r="X21" s="726"/>
      <c r="Y21" s="726"/>
      <c r="Z21" s="726"/>
      <c r="AA21" s="726"/>
      <c r="AB21" s="726"/>
      <c r="AC21" s="726"/>
      <c r="AD21" s="726"/>
      <c r="AE21" s="726"/>
      <c r="AF21" s="731"/>
      <c r="AG21" s="731"/>
      <c r="AH21" s="731"/>
      <c r="AI21" s="130"/>
      <c r="AJ21" s="129"/>
      <c r="AK21" s="787">
        <f t="shared" si="0"/>
        <v>17</v>
      </c>
      <c r="AL21" s="799" t="s">
        <v>2319</v>
      </c>
      <c r="AM21" s="800">
        <v>6</v>
      </c>
      <c r="AN21" s="800">
        <v>35.168545253125608</v>
      </c>
      <c r="AO21" s="801" t="s">
        <v>2303</v>
      </c>
      <c r="AP21" s="801">
        <v>280</v>
      </c>
      <c r="AQ21" s="801" t="s">
        <v>2303</v>
      </c>
      <c r="AR21" s="801">
        <v>70</v>
      </c>
      <c r="AS21" s="801">
        <v>7616</v>
      </c>
      <c r="AT21" s="801">
        <v>64736</v>
      </c>
      <c r="AU21" s="801">
        <v>0</v>
      </c>
      <c r="AV21" s="801">
        <v>6528</v>
      </c>
      <c r="AW21" s="801">
        <v>3808</v>
      </c>
      <c r="AX21" s="801">
        <v>285.60000000000002</v>
      </c>
      <c r="AY21" s="801">
        <v>285.60000000000002</v>
      </c>
      <c r="AZ21" s="801">
        <v>285.60000000000002</v>
      </c>
      <c r="BA21" s="801">
        <v>285.60000000000002</v>
      </c>
      <c r="BB21" s="801">
        <v>160</v>
      </c>
      <c r="BC21" s="801">
        <v>2</v>
      </c>
      <c r="BD21" s="802">
        <v>3808</v>
      </c>
      <c r="BE21" s="802">
        <v>328</v>
      </c>
      <c r="BF21" s="801">
        <v>0</v>
      </c>
      <c r="BG21" s="801">
        <v>0</v>
      </c>
      <c r="BH21" s="801">
        <v>17</v>
      </c>
      <c r="BI21" s="802">
        <v>400</v>
      </c>
      <c r="BJ21" s="801">
        <v>4.5</v>
      </c>
      <c r="BK21" s="801">
        <v>4.5</v>
      </c>
      <c r="BL21" s="801">
        <v>1</v>
      </c>
      <c r="BM21" s="802">
        <v>400</v>
      </c>
      <c r="BN21" s="801">
        <v>4</v>
      </c>
      <c r="BO21" s="801">
        <v>0</v>
      </c>
      <c r="BP21" s="801">
        <v>0</v>
      </c>
      <c r="BQ21" s="801">
        <v>1</v>
      </c>
      <c r="BR21" s="801">
        <v>0.65</v>
      </c>
      <c r="BS21" s="799" t="s">
        <v>2306</v>
      </c>
      <c r="BT21" s="799" t="s">
        <v>2299</v>
      </c>
      <c r="BU21" s="799">
        <v>1.69</v>
      </c>
      <c r="BV21" s="798">
        <v>13.52</v>
      </c>
      <c r="BW21" s="801">
        <v>8</v>
      </c>
      <c r="BX21" s="801">
        <v>8.5</v>
      </c>
      <c r="BY21" s="801">
        <v>2</v>
      </c>
      <c r="BZ21" s="802">
        <v>17</v>
      </c>
      <c r="CA21" s="798" t="b">
        <v>1</v>
      </c>
      <c r="CB21" s="801">
        <v>2</v>
      </c>
      <c r="CC21" s="798">
        <v>408.48</v>
      </c>
      <c r="CD21" s="803">
        <v>0.15000000000000002</v>
      </c>
      <c r="CE21" s="799">
        <v>28</v>
      </c>
      <c r="CF21" s="799">
        <v>136</v>
      </c>
      <c r="CG21" s="801">
        <v>7</v>
      </c>
      <c r="CH21" s="799" t="b">
        <v>1</v>
      </c>
      <c r="CI21" s="798">
        <v>952</v>
      </c>
      <c r="CJ21" s="798">
        <v>1500</v>
      </c>
      <c r="CK21" s="799">
        <v>50</v>
      </c>
      <c r="CL21" s="799">
        <v>50</v>
      </c>
      <c r="CM21" s="798">
        <v>0</v>
      </c>
      <c r="CN21" s="798">
        <v>5225.6000000000004</v>
      </c>
      <c r="CO21" s="798">
        <v>0</v>
      </c>
      <c r="CP21" s="798">
        <v>1142.4000000000001</v>
      </c>
      <c r="CQ21" s="798">
        <v>3808</v>
      </c>
      <c r="CR21" s="799">
        <v>0.8571428571428571</v>
      </c>
      <c r="CS21" s="798">
        <v>350</v>
      </c>
    </row>
    <row r="22" spans="1:97" ht="15.75" customHeight="1">
      <c r="A22" s="129"/>
      <c r="B22" s="129"/>
      <c r="C22" s="220"/>
      <c r="D22" s="225"/>
      <c r="E22" s="544" t="s">
        <v>2180</v>
      </c>
      <c r="F22" s="450" t="str">
        <f>IFERROR(IF(Menu_UseOfCalculator=MenuItem_NonDwellingUnit,"U-factor Table",IF(F628=0,"",CONCATENATE(F628," - ",VLOOKUP(Menu_UseOfCalculator,Table_UseOfCalculator,F325, FALSE)))),"ERROR: Select from drop downs above")</f>
        <v>Code Baseline - Maximum baseline window area is 15% of floor area.</v>
      </c>
      <c r="G22" s="211"/>
      <c r="H22" s="211"/>
      <c r="I22" s="211"/>
      <c r="J22" s="224"/>
      <c r="K22" s="224"/>
      <c r="L22" s="224"/>
      <c r="M22" s="224"/>
      <c r="N22" s="212"/>
      <c r="O22" s="225"/>
      <c r="P22" s="223"/>
      <c r="Q22" s="129"/>
      <c r="R22" s="145"/>
      <c r="S22" s="726"/>
      <c r="T22" s="726"/>
      <c r="U22" s="726"/>
      <c r="V22" s="726"/>
      <c r="W22" s="726"/>
      <c r="X22" s="726"/>
      <c r="Y22" s="726"/>
      <c r="Z22" s="726"/>
      <c r="AA22" s="726"/>
      <c r="AB22" s="726"/>
      <c r="AC22" s="726"/>
      <c r="AD22" s="726"/>
      <c r="AE22" s="726"/>
      <c r="AF22" s="731"/>
      <c r="AG22" s="731"/>
      <c r="AH22" s="731"/>
      <c r="AI22" s="130"/>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29"/>
      <c r="BP22" s="129"/>
      <c r="BQ22" s="129"/>
      <c r="BR22" s="129"/>
      <c r="BS22" s="129"/>
      <c r="BT22" s="129"/>
      <c r="BU22" s="129"/>
      <c r="BV22" s="129"/>
      <c r="BW22" s="129"/>
      <c r="BX22" s="129"/>
      <c r="BY22" s="129"/>
      <c r="BZ22" s="129"/>
      <c r="CA22" s="129"/>
      <c r="CB22" s="129"/>
      <c r="CC22" s="129"/>
      <c r="CD22" s="129"/>
      <c r="CE22" s="129"/>
      <c r="CF22" s="129"/>
      <c r="CG22" s="129"/>
      <c r="CH22" s="129"/>
      <c r="CI22" s="129"/>
      <c r="CJ22" s="129"/>
      <c r="CK22" s="129"/>
      <c r="CL22" s="129"/>
      <c r="CM22" s="129"/>
      <c r="CN22" s="129"/>
      <c r="CO22" s="129"/>
      <c r="CP22" s="129"/>
      <c r="CQ22" s="129"/>
      <c r="CR22" s="129"/>
      <c r="CS22" s="129"/>
    </row>
    <row r="23" spans="1:97" ht="16.5" customHeight="1">
      <c r="A23" s="129"/>
      <c r="B23" s="129"/>
      <c r="C23" s="220"/>
      <c r="D23" s="225"/>
      <c r="E23" s="544" t="s">
        <v>2410</v>
      </c>
      <c r="F23" s="450" t="str">
        <f>IFERROR(VLOOKUP(Menu_UseOfCalculator,Table_UseOfCalculator,K325,FALSE),"")</f>
        <v>No exempt window or door areas</v>
      </c>
      <c r="G23" s="225"/>
      <c r="H23" s="225"/>
      <c r="I23" s="225"/>
      <c r="J23" s="225"/>
      <c r="K23" s="225"/>
      <c r="L23" s="225"/>
      <c r="M23" s="225"/>
      <c r="N23" s="226"/>
      <c r="O23" s="225"/>
      <c r="P23" s="223"/>
      <c r="Q23" s="129"/>
      <c r="R23" s="145"/>
      <c r="S23" s="726"/>
      <c r="T23" s="726"/>
      <c r="U23" s="726"/>
      <c r="V23" s="726"/>
      <c r="W23" s="726"/>
      <c r="X23" s="726"/>
      <c r="Y23" s="726"/>
      <c r="Z23" s="726"/>
      <c r="AA23" s="726"/>
      <c r="AB23" s="726"/>
      <c r="AC23" s="726"/>
      <c r="AD23" s="726"/>
      <c r="AE23" s="726"/>
      <c r="AF23" s="731"/>
      <c r="AG23" s="731"/>
      <c r="AH23" s="731"/>
      <c r="AI23" s="130"/>
      <c r="AJ23" s="129"/>
      <c r="AK23" s="129"/>
      <c r="AL23" s="129"/>
      <c r="AM23" s="129"/>
      <c r="AN23" s="129"/>
      <c r="AO23" s="129"/>
      <c r="AP23" s="129"/>
      <c r="AQ23" s="129"/>
      <c r="AR23" s="129"/>
      <c r="AS23" s="129"/>
      <c r="AT23" s="129"/>
      <c r="AU23" s="129"/>
      <c r="AV23" s="129"/>
    </row>
    <row r="24" spans="1:97" ht="16.5" customHeight="1">
      <c r="A24" s="129"/>
      <c r="B24" s="129"/>
      <c r="C24" s="266"/>
      <c r="D24" s="137"/>
      <c r="E24" s="508"/>
      <c r="F24" s="509" t="str">
        <f>F403</f>
        <v>-</v>
      </c>
      <c r="G24" s="137"/>
      <c r="H24" s="137"/>
      <c r="I24" s="137"/>
      <c r="J24" s="137"/>
      <c r="K24" s="137"/>
      <c r="L24" s="137"/>
      <c r="M24" s="137"/>
      <c r="N24" s="509"/>
      <c r="O24" s="137"/>
      <c r="P24" s="237"/>
      <c r="Q24" s="129"/>
      <c r="R24" s="145"/>
      <c r="S24" s="726"/>
      <c r="T24" s="726"/>
      <c r="U24" s="726"/>
      <c r="V24" s="726"/>
      <c r="W24" s="726"/>
      <c r="X24" s="726"/>
      <c r="Y24" s="726"/>
      <c r="Z24" s="726"/>
      <c r="AA24" s="726"/>
      <c r="AB24" s="726"/>
      <c r="AC24" s="726"/>
      <c r="AD24" s="726"/>
      <c r="AE24" s="726"/>
      <c r="AF24" s="731"/>
      <c r="AG24" s="731"/>
      <c r="AH24" s="731"/>
      <c r="AI24" s="130"/>
      <c r="AJ24" s="129"/>
      <c r="AK24" s="129"/>
      <c r="AL24" s="129"/>
      <c r="AM24" s="129"/>
      <c r="AN24" s="129"/>
      <c r="AO24" s="129"/>
      <c r="AP24" s="129"/>
      <c r="AQ24" s="129"/>
      <c r="AR24" s="129"/>
      <c r="AS24" s="129"/>
      <c r="AT24" s="129"/>
      <c r="AU24" s="129"/>
      <c r="AV24" s="129"/>
    </row>
    <row r="25" spans="1:97" ht="16.5" customHeight="1">
      <c r="A25" s="129"/>
      <c r="B25" s="129"/>
      <c r="C25" s="505"/>
      <c r="D25" s="505"/>
      <c r="E25" s="506"/>
      <c r="F25" s="505"/>
      <c r="G25" s="505"/>
      <c r="H25" s="505"/>
      <c r="I25" s="505"/>
      <c r="J25" s="505"/>
      <c r="K25" s="505"/>
      <c r="L25" s="505"/>
      <c r="M25" s="505"/>
      <c r="N25" s="507"/>
      <c r="O25" s="505"/>
      <c r="P25" s="505"/>
      <c r="Q25" s="129"/>
      <c r="R25" s="145"/>
      <c r="S25" s="726"/>
      <c r="T25" s="726"/>
      <c r="U25" s="726"/>
      <c r="V25" s="726"/>
      <c r="W25" s="726"/>
      <c r="X25" s="726"/>
      <c r="Y25" s="726"/>
      <c r="Z25" s="726"/>
      <c r="AA25" s="726"/>
      <c r="AB25" s="726"/>
      <c r="AC25" s="726"/>
      <c r="AD25" s="726"/>
      <c r="AE25" s="726"/>
      <c r="AF25" s="731"/>
      <c r="AG25" s="731"/>
      <c r="AH25" s="731"/>
      <c r="AI25" s="130"/>
      <c r="AJ25" s="129"/>
      <c r="AK25" s="129"/>
      <c r="AL25" s="129"/>
      <c r="AM25" s="129"/>
      <c r="AN25" s="129"/>
      <c r="AO25" s="129"/>
      <c r="AP25" s="129"/>
      <c r="AQ25" s="129"/>
      <c r="AR25" s="129"/>
      <c r="AS25" s="129"/>
      <c r="AT25" s="129"/>
      <c r="AU25" s="129"/>
      <c r="AV25" s="129"/>
    </row>
    <row r="26" spans="1:97" ht="16.5" customHeight="1">
      <c r="A26" s="129"/>
      <c r="B26" s="491"/>
      <c r="C26" s="304" t="s">
        <v>3174</v>
      </c>
      <c r="D26" s="492"/>
      <c r="E26" s="492"/>
      <c r="F26" s="207"/>
      <c r="G26" s="207"/>
      <c r="H26" s="207"/>
      <c r="I26" s="207"/>
      <c r="J26" s="207"/>
      <c r="K26" s="207"/>
      <c r="L26" s="207"/>
      <c r="M26" s="492"/>
      <c r="N26" s="207"/>
      <c r="O26" s="207"/>
      <c r="P26" s="208"/>
      <c r="Q26" s="129"/>
      <c r="R26" s="145"/>
      <c r="S26" s="726"/>
      <c r="T26" s="726"/>
      <c r="U26" s="726"/>
      <c r="V26" s="726"/>
      <c r="W26" s="726"/>
      <c r="X26" s="726"/>
      <c r="Y26" s="726"/>
      <c r="Z26" s="726"/>
      <c r="AA26" s="726"/>
      <c r="AB26" s="726"/>
      <c r="AC26" s="726"/>
      <c r="AD26" s="726"/>
      <c r="AE26" s="726"/>
      <c r="AF26" s="731"/>
      <c r="AG26" s="731"/>
      <c r="AH26" s="731"/>
      <c r="AI26" s="130"/>
      <c r="AJ26" s="129"/>
      <c r="AK26" s="129"/>
      <c r="AL26" s="129"/>
      <c r="AM26" s="129"/>
      <c r="AN26" s="129"/>
      <c r="AO26" s="129"/>
      <c r="AP26" s="129"/>
      <c r="AQ26" s="129"/>
      <c r="AR26" s="129"/>
      <c r="AS26" s="129"/>
      <c r="AT26" s="129"/>
      <c r="AU26" s="129"/>
      <c r="AV26" s="129"/>
    </row>
    <row r="27" spans="1:97" ht="15.75" customHeight="1">
      <c r="A27" s="129"/>
      <c r="B27" s="129"/>
      <c r="C27" s="220"/>
      <c r="D27" s="225"/>
      <c r="E27" s="498" t="s">
        <v>1967</v>
      </c>
      <c r="F27" s="1212" t="s">
        <v>3223</v>
      </c>
      <c r="G27" s="1212"/>
      <c r="H27" s="1212"/>
      <c r="I27" s="225"/>
      <c r="J27" s="225"/>
      <c r="K27" s="1208" t="s">
        <v>1973</v>
      </c>
      <c r="L27" s="1208"/>
      <c r="M27" s="1208"/>
      <c r="N27" s="1208"/>
      <c r="O27" s="225"/>
      <c r="P27" s="223"/>
      <c r="Q27" s="129"/>
      <c r="R27" s="145"/>
      <c r="S27" s="726"/>
      <c r="T27" s="726"/>
      <c r="U27" s="726"/>
      <c r="V27" s="726"/>
      <c r="W27" s="726"/>
      <c r="X27" s="726"/>
      <c r="Y27" s="726"/>
      <c r="Z27" s="726"/>
      <c r="AA27" s="726"/>
      <c r="AB27" s="726"/>
      <c r="AC27" s="726"/>
      <c r="AD27" s="734"/>
      <c r="AE27" s="726"/>
      <c r="AF27" s="731"/>
      <c r="AG27" s="731"/>
      <c r="AH27" s="731"/>
      <c r="AI27" s="130"/>
      <c r="AJ27" s="129"/>
      <c r="AK27" s="129"/>
      <c r="AL27" s="129"/>
      <c r="AM27" s="129"/>
      <c r="AN27" s="129"/>
      <c r="AO27" s="129"/>
      <c r="AP27" s="129"/>
      <c r="AQ27" s="129"/>
      <c r="AR27" s="129"/>
      <c r="AS27" s="129"/>
      <c r="AT27" s="129"/>
      <c r="AU27" s="129"/>
      <c r="AV27" s="129"/>
    </row>
    <row r="28" spans="1:97" ht="15.75" customHeight="1">
      <c r="A28" s="129"/>
      <c r="B28" s="129"/>
      <c r="C28" s="220"/>
      <c r="D28" s="147"/>
      <c r="E28" s="225"/>
      <c r="F28" s="944" t="s">
        <v>2966</v>
      </c>
      <c r="G28" s="227" t="s">
        <v>1343</v>
      </c>
      <c r="H28" s="227" t="s">
        <v>1344</v>
      </c>
      <c r="I28" s="225"/>
      <c r="J28" s="226"/>
      <c r="K28" s="1211" t="s">
        <v>1342</v>
      </c>
      <c r="L28" s="1211"/>
      <c r="M28" s="148" t="s">
        <v>1343</v>
      </c>
      <c r="N28" s="148" t="s">
        <v>1344</v>
      </c>
      <c r="O28" s="225"/>
      <c r="P28" s="223"/>
      <c r="Q28" s="129"/>
      <c r="R28" s="145"/>
      <c r="S28" s="726"/>
      <c r="T28" s="726"/>
      <c r="U28" s="726"/>
      <c r="V28" s="726"/>
      <c r="W28" s="726"/>
      <c r="X28" s="726"/>
      <c r="Y28" s="726"/>
      <c r="Z28" s="726"/>
      <c r="AA28" s="726"/>
      <c r="AB28" s="726"/>
      <c r="AC28" s="726"/>
      <c r="AD28" s="726"/>
      <c r="AE28" s="726"/>
      <c r="AF28" s="731"/>
      <c r="AG28" s="731"/>
      <c r="AH28" s="731"/>
      <c r="AI28" s="130"/>
      <c r="AJ28" s="129"/>
      <c r="AK28" s="131" t="s">
        <v>2324</v>
      </c>
      <c r="AL28" s="129"/>
      <c r="AM28" s="129"/>
      <c r="AN28" s="129"/>
      <c r="AO28" s="129"/>
      <c r="AP28" s="129"/>
      <c r="AQ28" s="129"/>
      <c r="AR28" s="129"/>
      <c r="AS28" s="129"/>
      <c r="AT28" s="129"/>
      <c r="AU28" s="129"/>
      <c r="AV28" s="129"/>
    </row>
    <row r="29" spans="1:97" ht="15.75" customHeight="1">
      <c r="A29" s="129"/>
      <c r="B29" s="129"/>
      <c r="C29" s="220"/>
      <c r="D29" s="225"/>
      <c r="E29" s="249" t="s">
        <v>2200</v>
      </c>
      <c r="F29" s="242">
        <f>IFERROR(HLOOKUP($F$628,Table_Uvalue_Options,U635,FALSE),"")</f>
        <v>0.3</v>
      </c>
      <c r="G29" s="243">
        <f>IFERROR(M652,"")</f>
        <v>91.1111111111111</v>
      </c>
      <c r="H29" s="244">
        <f t="shared" ref="H29:H37" si="1">J615</f>
        <v>27.333333333333329</v>
      </c>
      <c r="I29" s="225"/>
      <c r="J29" s="273" t="str">
        <f t="shared" ref="J29:J37" si="2">IF(Menu_UseOfCalculator=MenuItem_UFactorPath,IF(O29&lt;&gt;"",1,0),"")</f>
        <v/>
      </c>
      <c r="K29" s="1207">
        <f t="shared" ref="K29:K37" si="3">IFERROR(N29/M29,"")</f>
        <v>0.3</v>
      </c>
      <c r="L29" s="1207"/>
      <c r="M29" s="243">
        <f>M84</f>
        <v>91.1111111111111</v>
      </c>
      <c r="N29" s="1059">
        <f>N84</f>
        <v>27.333333333333329</v>
      </c>
      <c r="O29" s="713" t="str">
        <f t="shared" ref="O29:O37" si="4">IFERROR(IF(K29="","",IF(Menu_UseOfCalculator=MenuItem_UFactorPath,IF(K29&gt;F29,"U-factor exceeds max allowed",""),"")),"")</f>
        <v/>
      </c>
      <c r="P29" s="223"/>
      <c r="Q29" s="129"/>
      <c r="R29" s="145"/>
      <c r="S29" s="726"/>
      <c r="T29" s="726"/>
      <c r="U29" s="726"/>
      <c r="V29" s="726"/>
      <c r="W29" s="726"/>
      <c r="X29" s="726"/>
      <c r="Y29" s="726"/>
      <c r="Z29" s="726"/>
      <c r="AA29" s="726"/>
      <c r="AB29" s="726"/>
      <c r="AC29" s="726"/>
      <c r="AD29" s="726"/>
      <c r="AE29" s="726"/>
      <c r="AF29" s="731"/>
      <c r="AG29" s="731"/>
      <c r="AH29" s="731"/>
      <c r="AI29" s="130"/>
      <c r="AJ29" s="129"/>
      <c r="AK29" s="202" t="s">
        <v>2325</v>
      </c>
      <c r="AL29" s="129"/>
      <c r="AM29" s="129"/>
      <c r="AN29" s="129"/>
      <c r="AO29" s="129"/>
      <c r="AP29" s="129"/>
      <c r="AQ29" s="129"/>
      <c r="AR29" s="129"/>
      <c r="AS29" s="129"/>
      <c r="AT29" s="129"/>
      <c r="AU29" s="129"/>
      <c r="AV29" s="129"/>
    </row>
    <row r="30" spans="1:97" ht="15.75" customHeight="1">
      <c r="A30" s="129"/>
      <c r="B30" s="129"/>
      <c r="C30" s="220"/>
      <c r="D30" s="225"/>
      <c r="E30" s="249" t="s">
        <v>451</v>
      </c>
      <c r="F30" s="242">
        <f t="shared" ref="F30:F37" si="5">IFERROR(HLOOKUP($F$628,Table_Uvalue_Options,U636,FALSE),"")</f>
        <v>0.5</v>
      </c>
      <c r="G30" s="243">
        <f>IFERROR(M653,"")</f>
        <v>0</v>
      </c>
      <c r="H30" s="244">
        <f t="shared" si="1"/>
        <v>0</v>
      </c>
      <c r="I30" s="225"/>
      <c r="J30" s="273" t="str">
        <f t="shared" si="2"/>
        <v/>
      </c>
      <c r="K30" s="1207" t="str">
        <f t="shared" si="3"/>
        <v/>
      </c>
      <c r="L30" s="1207"/>
      <c r="M30" s="243">
        <f>M96</f>
        <v>0</v>
      </c>
      <c r="N30" s="244">
        <f>N96</f>
        <v>0</v>
      </c>
      <c r="O30" s="713" t="str">
        <f t="shared" si="4"/>
        <v/>
      </c>
      <c r="P30" s="223"/>
      <c r="Q30" s="129"/>
      <c r="R30" s="145"/>
      <c r="S30" s="726"/>
      <c r="T30" s="726"/>
      <c r="U30" s="726"/>
      <c r="V30" s="726"/>
      <c r="W30" s="726"/>
      <c r="X30" s="726"/>
      <c r="Y30" s="726"/>
      <c r="Z30" s="726"/>
      <c r="AA30" s="726"/>
      <c r="AB30" s="726"/>
      <c r="AC30" s="726"/>
      <c r="AD30" s="726"/>
      <c r="AE30" s="726"/>
      <c r="AF30" s="731"/>
      <c r="AG30" s="731"/>
      <c r="AH30" s="731"/>
      <c r="AI30" s="130"/>
      <c r="AJ30" s="129"/>
      <c r="AK30" s="129"/>
      <c r="AL30" s="129"/>
      <c r="AM30" s="129"/>
      <c r="AN30" s="129"/>
      <c r="AO30" s="129"/>
      <c r="AP30" s="129"/>
      <c r="AQ30" s="129"/>
      <c r="AR30" s="129"/>
      <c r="AS30" s="129"/>
      <c r="AT30" s="129"/>
      <c r="AU30" s="129"/>
      <c r="AV30" s="129"/>
    </row>
    <row r="31" spans="1:97" ht="15.75" customHeight="1">
      <c r="A31" s="129"/>
      <c r="B31" s="129"/>
      <c r="C31" s="220"/>
      <c r="D31" s="225"/>
      <c r="E31" s="249" t="s">
        <v>2199</v>
      </c>
      <c r="F31" s="242">
        <f t="shared" si="5"/>
        <v>0.3</v>
      </c>
      <c r="G31" s="245">
        <f>IFERROR(M654,"Error")</f>
        <v>132.25</v>
      </c>
      <c r="H31" s="244">
        <f t="shared" si="1"/>
        <v>39.674999999999997</v>
      </c>
      <c r="I31" s="225"/>
      <c r="J31" s="273" t="str">
        <f t="shared" si="2"/>
        <v/>
      </c>
      <c r="K31" s="1207">
        <f t="shared" si="3"/>
        <v>0.3</v>
      </c>
      <c r="L31" s="1207"/>
      <c r="M31" s="245">
        <f>M164</f>
        <v>132.25</v>
      </c>
      <c r="N31" s="244">
        <f>N164</f>
        <v>39.674999999999997</v>
      </c>
      <c r="O31" s="713" t="str">
        <f t="shared" si="4"/>
        <v/>
      </c>
      <c r="P31" s="223"/>
      <c r="Q31" s="129"/>
      <c r="R31" s="145"/>
      <c r="S31" s="726"/>
      <c r="T31" s="726"/>
      <c r="U31" s="726"/>
      <c r="V31" s="726"/>
      <c r="W31" s="726"/>
      <c r="X31" s="726"/>
      <c r="Y31" s="726"/>
      <c r="Z31" s="726"/>
      <c r="AA31" s="726"/>
      <c r="AB31" s="726"/>
      <c r="AC31" s="726"/>
      <c r="AD31" s="726"/>
      <c r="AE31" s="726"/>
      <c r="AF31" s="732"/>
      <c r="AG31" s="731"/>
      <c r="AH31" s="731"/>
      <c r="AI31" s="130"/>
      <c r="AJ31" s="129"/>
      <c r="AK31" s="129"/>
      <c r="AL31" s="129"/>
      <c r="AM31" s="129"/>
      <c r="AN31" s="129"/>
      <c r="AO31" s="129"/>
      <c r="AP31" s="129"/>
      <c r="AQ31" s="129"/>
      <c r="AR31" s="129"/>
      <c r="AS31" s="129"/>
      <c r="AT31" s="129"/>
      <c r="AU31" s="129"/>
      <c r="AV31" s="129"/>
    </row>
    <row r="32" spans="1:97" ht="15.75" customHeight="1">
      <c r="A32" s="129"/>
      <c r="B32" s="129"/>
      <c r="C32" s="220"/>
      <c r="D32" s="225"/>
      <c r="E32" s="249" t="s">
        <v>2095</v>
      </c>
      <c r="F32" s="242">
        <f t="shared" si="5"/>
        <v>2.4E-2</v>
      </c>
      <c r="G32" s="243">
        <f>IFERROR(M655,"")</f>
        <v>1578</v>
      </c>
      <c r="H32" s="244">
        <f t="shared" si="1"/>
        <v>37.872</v>
      </c>
      <c r="I32" s="225"/>
      <c r="J32" s="273" t="str">
        <f t="shared" si="2"/>
        <v/>
      </c>
      <c r="K32" s="1207">
        <f t="shared" si="3"/>
        <v>0.02</v>
      </c>
      <c r="L32" s="1207"/>
      <c r="M32" s="243">
        <f>M176</f>
        <v>1578</v>
      </c>
      <c r="N32" s="244">
        <f>N176</f>
        <v>31.560000000000002</v>
      </c>
      <c r="O32" s="713" t="str">
        <f t="shared" si="4"/>
        <v/>
      </c>
      <c r="P32" s="223"/>
      <c r="Q32" s="129"/>
      <c r="R32" s="145"/>
      <c r="S32" s="726"/>
      <c r="T32" s="726"/>
      <c r="U32" s="726"/>
      <c r="V32" s="726"/>
      <c r="W32" s="726"/>
      <c r="X32" s="726"/>
      <c r="Y32" s="726"/>
      <c r="Z32" s="726"/>
      <c r="AA32" s="726"/>
      <c r="AB32" s="726"/>
      <c r="AC32" s="726"/>
      <c r="AD32" s="726"/>
      <c r="AE32" s="726"/>
      <c r="AF32" s="731"/>
      <c r="AG32" s="731"/>
      <c r="AH32" s="731"/>
      <c r="AI32" s="130"/>
      <c r="AJ32" s="129"/>
      <c r="AK32" s="179" t="s">
        <v>2060</v>
      </c>
      <c r="AL32" s="129"/>
      <c r="AM32" s="129"/>
      <c r="AN32" s="129"/>
      <c r="AO32" s="129"/>
      <c r="AP32" s="129"/>
      <c r="AQ32" s="129"/>
      <c r="AR32" s="129"/>
      <c r="AS32" s="129"/>
      <c r="AT32" s="129"/>
      <c r="AU32" s="129"/>
      <c r="AV32" s="129"/>
    </row>
    <row r="33" spans="1:50" ht="15.75" customHeight="1">
      <c r="A33" s="129"/>
      <c r="B33" s="129"/>
      <c r="C33" s="220"/>
      <c r="D33" s="225"/>
      <c r="E33" s="249" t="s">
        <v>1368</v>
      </c>
      <c r="F33" s="242">
        <f t="shared" si="5"/>
        <v>5.6000000000000001E-2</v>
      </c>
      <c r="G33" s="243">
        <f t="shared" ref="G33:G37" si="6">IFERROR(M656,"")</f>
        <v>2201.6800000000003</v>
      </c>
      <c r="H33" s="244">
        <f t="shared" si="1"/>
        <v>123.29408000000002</v>
      </c>
      <c r="I33" s="225"/>
      <c r="J33" s="273" t="str">
        <f t="shared" si="2"/>
        <v/>
      </c>
      <c r="K33" s="1207">
        <f t="shared" si="3"/>
        <v>5.3999999999999992E-2</v>
      </c>
      <c r="L33" s="1207"/>
      <c r="M33" s="246">
        <f>M191</f>
        <v>2201.6800000000003</v>
      </c>
      <c r="N33" s="244">
        <f>N191</f>
        <v>118.89072</v>
      </c>
      <c r="O33" s="713" t="str">
        <f t="shared" si="4"/>
        <v/>
      </c>
      <c r="P33" s="223"/>
      <c r="Q33" s="129"/>
      <c r="R33" s="145"/>
      <c r="S33" s="726"/>
      <c r="T33" s="726"/>
      <c r="U33" s="726"/>
      <c r="V33" s="726"/>
      <c r="W33" s="726"/>
      <c r="X33" s="726"/>
      <c r="Y33" s="726"/>
      <c r="Z33" s="726"/>
      <c r="AA33" s="726"/>
      <c r="AB33" s="726"/>
      <c r="AC33" s="726"/>
      <c r="AD33" s="726"/>
      <c r="AE33" s="726"/>
      <c r="AF33" s="731"/>
      <c r="AG33" s="731"/>
      <c r="AH33" s="731"/>
      <c r="AI33" s="130"/>
      <c r="AJ33" s="129"/>
      <c r="AK33" s="180" t="s">
        <v>2184</v>
      </c>
      <c r="AL33" s="129"/>
      <c r="AM33" s="129"/>
      <c r="AN33" s="129"/>
      <c r="AO33" s="129"/>
      <c r="AP33" s="129"/>
      <c r="AQ33" s="129"/>
      <c r="AR33" s="129"/>
      <c r="AS33" s="129"/>
      <c r="AT33" s="129"/>
      <c r="AU33" s="129"/>
      <c r="AV33" s="129"/>
    </row>
    <row r="34" spans="1:50" ht="15.75" customHeight="1">
      <c r="A34" s="129"/>
      <c r="B34" s="129"/>
      <c r="C34" s="220"/>
      <c r="D34" s="225"/>
      <c r="E34" s="249" t="s">
        <v>2198</v>
      </c>
      <c r="F34" s="242">
        <f t="shared" si="5"/>
        <v>2.9000000000000001E-2</v>
      </c>
      <c r="G34" s="243">
        <f t="shared" si="6"/>
        <v>1578</v>
      </c>
      <c r="H34" s="244">
        <f t="shared" si="1"/>
        <v>45.762</v>
      </c>
      <c r="I34" s="225"/>
      <c r="J34" s="273" t="str">
        <f t="shared" si="2"/>
        <v/>
      </c>
      <c r="K34" s="1207">
        <f t="shared" si="3"/>
        <v>2.9000000000000001E-2</v>
      </c>
      <c r="L34" s="1207"/>
      <c r="M34" s="243">
        <f>M203</f>
        <v>1578</v>
      </c>
      <c r="N34" s="244">
        <f>N203</f>
        <v>45.762</v>
      </c>
      <c r="O34" s="713" t="str">
        <f t="shared" si="4"/>
        <v/>
      </c>
      <c r="P34" s="223"/>
      <c r="Q34" s="129"/>
      <c r="R34" s="145"/>
      <c r="S34" s="726"/>
      <c r="T34" s="726"/>
      <c r="U34" s="726"/>
      <c r="V34" s="726"/>
      <c r="W34" s="726"/>
      <c r="X34" s="726"/>
      <c r="Y34" s="726"/>
      <c r="Z34" s="726"/>
      <c r="AA34" s="726"/>
      <c r="AB34" s="726"/>
      <c r="AC34" s="726"/>
      <c r="AD34" s="726"/>
      <c r="AE34" s="726"/>
      <c r="AF34" s="731"/>
      <c r="AG34" s="731"/>
      <c r="AH34" s="731"/>
      <c r="AI34" s="130"/>
      <c r="AJ34" s="129"/>
      <c r="AK34" s="180" t="s">
        <v>2185</v>
      </c>
      <c r="AL34" s="129"/>
      <c r="AM34" s="129"/>
      <c r="AN34" s="129"/>
      <c r="AO34" s="129"/>
      <c r="AP34" s="129"/>
      <c r="AQ34" s="129"/>
      <c r="AR34" s="129"/>
      <c r="AS34" s="129"/>
      <c r="AT34" s="129"/>
      <c r="AU34" s="129"/>
      <c r="AV34" s="129"/>
    </row>
    <row r="35" spans="1:50" ht="15.75" customHeight="1">
      <c r="A35" s="129"/>
      <c r="B35" s="129"/>
      <c r="C35" s="220"/>
      <c r="D35" s="225"/>
      <c r="E35" s="249" t="s">
        <v>2197</v>
      </c>
      <c r="F35" s="242">
        <f t="shared" si="5"/>
        <v>0.54</v>
      </c>
      <c r="G35" s="243">
        <f t="shared" si="6"/>
        <v>0</v>
      </c>
      <c r="H35" s="244">
        <f t="shared" si="1"/>
        <v>0</v>
      </c>
      <c r="I35" s="225"/>
      <c r="J35" s="273" t="str">
        <f t="shared" si="2"/>
        <v/>
      </c>
      <c r="K35" s="1207" t="str">
        <f t="shared" si="3"/>
        <v/>
      </c>
      <c r="L35" s="1207"/>
      <c r="M35" s="243">
        <f>M214</f>
        <v>0</v>
      </c>
      <c r="N35" s="244">
        <f>N214</f>
        <v>0</v>
      </c>
      <c r="O35" s="713" t="str">
        <f t="shared" si="4"/>
        <v/>
      </c>
      <c r="P35" s="223"/>
      <c r="Q35" s="129"/>
      <c r="R35" s="145"/>
      <c r="S35" s="726"/>
      <c r="T35" s="726"/>
      <c r="U35" s="726"/>
      <c r="V35" s="726"/>
      <c r="W35" s="726"/>
      <c r="X35" s="726"/>
      <c r="Y35" s="726"/>
      <c r="Z35" s="726"/>
      <c r="AA35" s="726"/>
      <c r="AB35" s="726"/>
      <c r="AC35" s="726"/>
      <c r="AD35" s="726"/>
      <c r="AE35" s="726"/>
      <c r="AF35" s="731"/>
      <c r="AG35" s="731"/>
      <c r="AH35" s="731"/>
      <c r="AI35" s="130"/>
      <c r="AJ35" s="129"/>
      <c r="AK35" s="179" t="s">
        <v>2165</v>
      </c>
      <c r="AL35" s="129"/>
      <c r="AM35" s="129"/>
      <c r="AN35" s="129"/>
      <c r="AO35" s="129"/>
      <c r="AP35" s="129"/>
      <c r="AQ35" s="129"/>
      <c r="AR35" s="129"/>
      <c r="AS35" s="129"/>
      <c r="AT35" s="129"/>
      <c r="AU35" s="129"/>
      <c r="AV35" s="129"/>
    </row>
    <row r="36" spans="1:50" ht="15.75" customHeight="1">
      <c r="A36" s="129"/>
      <c r="B36" s="129"/>
      <c r="C36" s="220"/>
      <c r="D36" s="225"/>
      <c r="E36" s="249" t="s">
        <v>2196</v>
      </c>
      <c r="F36" s="242" t="str">
        <f t="shared" si="5"/>
        <v>N/A</v>
      </c>
      <c r="G36" s="243">
        <f t="shared" si="6"/>
        <v>0</v>
      </c>
      <c r="H36" s="244" t="str">
        <f t="shared" si="1"/>
        <v/>
      </c>
      <c r="I36" s="225"/>
      <c r="J36" s="273" t="str">
        <f t="shared" si="2"/>
        <v/>
      </c>
      <c r="K36" s="1207" t="str">
        <f t="shared" si="3"/>
        <v/>
      </c>
      <c r="L36" s="1207"/>
      <c r="M36" s="243">
        <f>I225</f>
        <v>0</v>
      </c>
      <c r="N36" s="244">
        <f>J225</f>
        <v>0</v>
      </c>
      <c r="O36" s="713" t="str">
        <f t="shared" si="4"/>
        <v/>
      </c>
      <c r="P36" s="223"/>
      <c r="Q36" s="129"/>
      <c r="R36" s="145"/>
      <c r="S36" s="726"/>
      <c r="T36" s="726"/>
      <c r="U36" s="726"/>
      <c r="V36" s="726"/>
      <c r="W36" s="726"/>
      <c r="X36" s="726"/>
      <c r="Y36" s="726"/>
      <c r="Z36" s="726"/>
      <c r="AA36" s="726"/>
      <c r="AB36" s="726"/>
      <c r="AC36" s="726"/>
      <c r="AD36" s="726"/>
      <c r="AE36" s="726"/>
      <c r="AF36" s="731"/>
      <c r="AG36" s="731"/>
      <c r="AH36" s="731"/>
      <c r="AI36" s="130"/>
      <c r="AJ36" s="129"/>
      <c r="AK36" s="179" t="s">
        <v>2321</v>
      </c>
      <c r="AL36" s="129"/>
      <c r="AM36" s="129"/>
      <c r="AN36" s="129"/>
      <c r="AO36" s="129"/>
      <c r="AP36" s="129"/>
      <c r="AQ36" s="129"/>
      <c r="AR36" s="129"/>
      <c r="AS36" s="129"/>
      <c r="AT36" s="129"/>
      <c r="AU36" s="129"/>
      <c r="AV36" s="129"/>
    </row>
    <row r="37" spans="1:50" ht="15.75" customHeight="1">
      <c r="A37" s="129"/>
      <c r="B37" s="129"/>
      <c r="C37" s="220"/>
      <c r="D37" s="225"/>
      <c r="E37" s="249" t="s">
        <v>1919</v>
      </c>
      <c r="F37" s="242" t="str">
        <f t="shared" si="5"/>
        <v>N/A</v>
      </c>
      <c r="G37" s="243">
        <f t="shared" si="6"/>
        <v>0</v>
      </c>
      <c r="H37" s="244" t="str">
        <f t="shared" si="1"/>
        <v/>
      </c>
      <c r="I37" s="225"/>
      <c r="J37" s="273" t="str">
        <f t="shared" si="2"/>
        <v/>
      </c>
      <c r="K37" s="1207" t="str">
        <f t="shared" si="3"/>
        <v/>
      </c>
      <c r="L37" s="1207"/>
      <c r="M37" s="243">
        <f>M225</f>
        <v>0</v>
      </c>
      <c r="N37" s="244">
        <f>N225</f>
        <v>0</v>
      </c>
      <c r="O37" s="713" t="str">
        <f t="shared" si="4"/>
        <v/>
      </c>
      <c r="P37" s="223"/>
      <c r="Q37" s="129"/>
      <c r="R37" s="145"/>
      <c r="S37" s="726"/>
      <c r="T37" s="726"/>
      <c r="U37" s="726"/>
      <c r="V37" s="726"/>
      <c r="W37" s="726"/>
      <c r="X37" s="726"/>
      <c r="Y37" s="726"/>
      <c r="Z37" s="726"/>
      <c r="AA37" s="726"/>
      <c r="AB37" s="726"/>
      <c r="AC37" s="726"/>
      <c r="AD37" s="726"/>
      <c r="AE37" s="726"/>
      <c r="AF37" s="731"/>
      <c r="AG37" s="731"/>
      <c r="AH37" s="731"/>
      <c r="AI37" s="130"/>
      <c r="AJ37" s="129"/>
      <c r="AK37" s="190" t="s">
        <v>2322</v>
      </c>
      <c r="AL37" s="129"/>
      <c r="AM37" s="129"/>
      <c r="AN37" s="129"/>
      <c r="AO37" s="129"/>
      <c r="AP37" s="129"/>
      <c r="AQ37" s="129"/>
      <c r="AR37" s="129"/>
      <c r="AS37" s="129"/>
      <c r="AT37" s="129"/>
      <c r="AU37" s="129"/>
      <c r="AV37" s="129"/>
    </row>
    <row r="38" spans="1:50" ht="19.5" customHeight="1">
      <c r="A38" s="129"/>
      <c r="B38" s="129"/>
      <c r="C38" s="220"/>
      <c r="D38" s="225"/>
      <c r="E38" s="225"/>
      <c r="F38" s="982" t="str">
        <f>IF(Menu_UseOfCalculator=MenuItem_UserDefinedBaseline,"* Values from user-defined baseline",IF(Menu_CodeVersion=K399,"* Values from Table R402.1.2 (Oct 2023)","* Values from Table R402.1.3"))</f>
        <v>* Values from Table R402.1.2 (Oct 2023)</v>
      </c>
      <c r="G38" s="226"/>
      <c r="H38" s="228"/>
      <c r="I38" s="226"/>
      <c r="J38" s="226"/>
      <c r="K38" s="226"/>
      <c r="L38" s="226"/>
      <c r="M38" s="226"/>
      <c r="N38" s="228"/>
      <c r="O38" s="225"/>
      <c r="P38" s="223"/>
      <c r="Q38" s="129"/>
      <c r="R38" s="145"/>
      <c r="S38" s="735"/>
      <c r="T38" s="726"/>
      <c r="U38" s="726"/>
      <c r="V38" s="726"/>
      <c r="W38" s="726"/>
      <c r="X38" s="726"/>
      <c r="Y38" s="726"/>
      <c r="Z38" s="726"/>
      <c r="AA38" s="726"/>
      <c r="AB38" s="726"/>
      <c r="AC38" s="726"/>
      <c r="AD38" s="726"/>
      <c r="AE38" s="726"/>
      <c r="AF38" s="731"/>
      <c r="AG38" s="731"/>
      <c r="AH38" s="731"/>
      <c r="AI38" s="130"/>
      <c r="AJ38" s="129"/>
      <c r="AK38" s="96" t="s">
        <v>2207</v>
      </c>
      <c r="AL38" s="129"/>
      <c r="AM38" s="129"/>
      <c r="AN38" s="129"/>
      <c r="AO38" s="129"/>
      <c r="AP38" s="129"/>
      <c r="AQ38" s="129"/>
      <c r="AR38" s="129"/>
      <c r="AS38" s="129"/>
      <c r="AT38" s="129"/>
      <c r="AU38" s="129"/>
      <c r="AV38" s="129"/>
    </row>
    <row r="39" spans="1:50" ht="15.75" customHeight="1">
      <c r="A39" s="129"/>
      <c r="B39" s="129"/>
      <c r="C39" s="220"/>
      <c r="D39" s="225"/>
      <c r="E39" s="225"/>
      <c r="F39" s="229"/>
      <c r="G39" s="250" t="s">
        <v>2557</v>
      </c>
      <c r="H39" s="247">
        <f>IF(SUBTOTAL(109,O74:O225)=0,SUM(H29:H37),"Check Missing Inputs or Errors")</f>
        <v>273.93641333333335</v>
      </c>
      <c r="I39" s="226"/>
      <c r="J39" s="226"/>
      <c r="K39" s="230"/>
      <c r="L39" s="230"/>
      <c r="M39" s="250" t="s">
        <v>1352</v>
      </c>
      <c r="N39" s="247">
        <f>IF(SUBTOTAL(109,O74:O225)=0,SUM(N29:N37),"Check Missing Inputs or Errors")</f>
        <v>263.22105333333332</v>
      </c>
      <c r="O39" s="231"/>
      <c r="P39" s="223"/>
      <c r="Q39" s="129"/>
      <c r="R39" s="145"/>
      <c r="S39" s="726"/>
      <c r="T39" s="726"/>
      <c r="U39" s="726"/>
      <c r="V39" s="726"/>
      <c r="W39" s="726"/>
      <c r="X39" s="726"/>
      <c r="Y39" s="726"/>
      <c r="Z39" s="726"/>
      <c r="AA39" s="726"/>
      <c r="AB39" s="726"/>
      <c r="AC39" s="726"/>
      <c r="AD39" s="726"/>
      <c r="AE39" s="726"/>
      <c r="AF39" s="726"/>
      <c r="AG39" s="726"/>
      <c r="AH39" s="726"/>
      <c r="AI39" s="130"/>
      <c r="AJ39" s="129"/>
      <c r="AK39" s="96" t="s">
        <v>2206</v>
      </c>
      <c r="AL39" s="129"/>
      <c r="AM39" s="129"/>
      <c r="AN39" s="129"/>
      <c r="AO39" s="129"/>
      <c r="AP39" s="129"/>
      <c r="AQ39" s="129"/>
      <c r="AR39" s="129"/>
      <c r="AS39" s="129"/>
      <c r="AT39" s="129"/>
      <c r="AU39" s="129"/>
      <c r="AV39" s="129"/>
    </row>
    <row r="40" spans="1:50" ht="18" customHeight="1">
      <c r="A40" s="1041"/>
      <c r="B40" s="145"/>
      <c r="C40" s="1042"/>
      <c r="D40" s="360"/>
      <c r="E40" s="360"/>
      <c r="F40" s="232"/>
      <c r="G40" s="250" t="s">
        <v>2236</v>
      </c>
      <c r="H40" s="248">
        <f>IFERROR(IF(Menu_UseOfCalculator=MenuItem_NonDwellingUnit,"None",F402),"Select occupancy type")</f>
        <v>6.5</v>
      </c>
      <c r="I40" s="215"/>
      <c r="J40" s="214"/>
      <c r="K40" s="214"/>
      <c r="L40" s="214"/>
      <c r="M40" s="251" t="s">
        <v>2179</v>
      </c>
      <c r="N40" s="248">
        <f>IF(Menu_UseOfCalculator=MenuItem_NonDwellingUnit,"NA",P681)</f>
        <v>6.5</v>
      </c>
      <c r="O40" s="225" t="str">
        <f>IF(Menu_CodeVersion="WSEC 2015","from Table 406.2","from Tables 406.2 and 406.3")</f>
        <v>from Tables 406.2 and 406.3</v>
      </c>
      <c r="P40" s="223"/>
      <c r="Q40" s="129"/>
      <c r="R40" s="145"/>
      <c r="S40" s="726"/>
      <c r="T40" s="726"/>
      <c r="U40" s="726"/>
      <c r="V40" s="726"/>
      <c r="W40" s="726"/>
      <c r="X40" s="726"/>
      <c r="Y40" s="726"/>
      <c r="Z40" s="726"/>
      <c r="AA40" s="726"/>
      <c r="AB40" s="726"/>
      <c r="AC40" s="726"/>
      <c r="AD40" s="726"/>
      <c r="AE40" s="726"/>
      <c r="AF40" s="726"/>
      <c r="AG40" s="726"/>
      <c r="AH40" s="735"/>
      <c r="AI40" s="130"/>
      <c r="AJ40" s="129"/>
      <c r="AK40" s="179" t="s">
        <v>2182</v>
      </c>
      <c r="AL40" s="129"/>
      <c r="AM40" s="129"/>
      <c r="AN40" s="129"/>
      <c r="AO40" s="129"/>
      <c r="AP40" s="129"/>
      <c r="AQ40" s="129"/>
      <c r="AR40" s="129"/>
      <c r="AS40" s="129"/>
      <c r="AT40" s="129"/>
      <c r="AU40" s="129"/>
      <c r="AV40" s="129"/>
    </row>
    <row r="41" spans="1:50" ht="18" customHeight="1">
      <c r="A41" s="129"/>
      <c r="B41" s="129"/>
      <c r="C41" s="220"/>
      <c r="D41" s="225"/>
      <c r="E41" s="225"/>
      <c r="F41" s="232"/>
      <c r="G41" s="233"/>
      <c r="H41" s="213"/>
      <c r="I41" s="234"/>
      <c r="J41" s="214"/>
      <c r="K41" s="214"/>
      <c r="L41" s="214"/>
      <c r="M41" s="251" t="s">
        <v>2044</v>
      </c>
      <c r="N41" s="1032">
        <f>IFERROR(IF(AND(Menu_UseOfCalculator=MenuItem_UserDefinedBaseline,Menu_ProjectType&lt;&gt;"New Construction"),"Calculate %UA reduction based on Addition UA",IF(H39+N39=0,"",IFERROR((H39-N39)/H39,"Check Errors"))),"")</f>
        <v>3.9116230915096667E-2</v>
      </c>
      <c r="O41" s="354"/>
      <c r="P41" s="223"/>
      <c r="Q41" s="129"/>
      <c r="R41" s="145"/>
      <c r="S41" s="726"/>
      <c r="T41" s="726"/>
      <c r="U41" s="726"/>
      <c r="V41" s="726"/>
      <c r="W41" s="726"/>
      <c r="X41" s="726"/>
      <c r="Y41" s="726"/>
      <c r="Z41" s="726"/>
      <c r="AA41" s="726"/>
      <c r="AB41" s="726"/>
      <c r="AC41" s="726"/>
      <c r="AD41" s="726"/>
      <c r="AE41" s="726"/>
      <c r="AF41" s="726"/>
      <c r="AG41" s="726"/>
      <c r="AH41" s="735"/>
      <c r="AI41" s="130"/>
      <c r="AJ41" s="129"/>
      <c r="AK41" s="179" t="s">
        <v>2183</v>
      </c>
      <c r="AL41" s="129"/>
      <c r="AM41" s="129"/>
      <c r="AN41" s="129"/>
      <c r="AO41" s="129"/>
      <c r="AP41" s="129"/>
      <c r="AQ41" s="129"/>
      <c r="AR41" s="129"/>
      <c r="AS41" s="129"/>
      <c r="AT41" s="129"/>
      <c r="AU41" s="129"/>
      <c r="AV41" s="129"/>
    </row>
    <row r="42" spans="1:50" ht="18" customHeight="1">
      <c r="A42" s="129"/>
      <c r="B42" s="129"/>
      <c r="C42" s="220"/>
      <c r="D42" s="225"/>
      <c r="E42" s="225"/>
      <c r="F42" s="232"/>
      <c r="G42" s="225"/>
      <c r="H42" s="213"/>
      <c r="I42" s="234"/>
      <c r="J42" s="234"/>
      <c r="K42" s="236"/>
      <c r="L42" s="225"/>
      <c r="M42" s="251" t="s">
        <v>2737</v>
      </c>
      <c r="N42" s="248">
        <f>IFERROR(H39-N39,"")</f>
        <v>10.715360000000032</v>
      </c>
      <c r="O42" s="235"/>
      <c r="P42" s="223"/>
      <c r="Q42" s="129"/>
      <c r="R42" s="145"/>
      <c r="S42" s="726"/>
      <c r="T42" s="726"/>
      <c r="U42" s="726"/>
      <c r="V42" s="726"/>
      <c r="W42" s="726"/>
      <c r="X42" s="726"/>
      <c r="Y42" s="726"/>
      <c r="Z42" s="726"/>
      <c r="AA42" s="726"/>
      <c r="AB42" s="726"/>
      <c r="AC42" s="726"/>
      <c r="AD42" s="726"/>
      <c r="AE42" s="726"/>
      <c r="AF42" s="726"/>
      <c r="AG42" s="726"/>
      <c r="AH42" s="726"/>
      <c r="AI42" s="130"/>
      <c r="AJ42" s="129"/>
      <c r="AK42" s="131" t="s">
        <v>2216</v>
      </c>
      <c r="AL42" s="129"/>
      <c r="AM42" s="129"/>
      <c r="AN42" s="129"/>
      <c r="AO42" s="129"/>
      <c r="AP42" s="129"/>
      <c r="AQ42" s="129"/>
      <c r="AR42" s="129"/>
      <c r="AS42" s="129"/>
      <c r="AT42" s="129"/>
      <c r="AU42" s="129"/>
      <c r="AV42" s="129"/>
    </row>
    <row r="43" spans="1:50" ht="25.5" customHeight="1">
      <c r="A43" s="129"/>
      <c r="B43" s="129"/>
      <c r="C43" s="220"/>
      <c r="D43" s="513" t="str">
        <f>IF(Menu_UseOfCalculator=E328,"If the Proposed UA ≤ the Target UA, and the Proposed Credits from Table 406 are ≥ those required in Section R406, then the home meets the WSEC.","")</f>
        <v/>
      </c>
      <c r="E43" s="514"/>
      <c r="F43" s="514"/>
      <c r="G43" s="514"/>
      <c r="H43" s="514"/>
      <c r="I43" s="514"/>
      <c r="J43" s="514"/>
      <c r="K43" s="514"/>
      <c r="L43" s="514"/>
      <c r="M43" s="514"/>
      <c r="N43" s="514"/>
      <c r="O43" s="225"/>
      <c r="P43" s="223"/>
      <c r="Q43" s="129"/>
      <c r="R43" s="145"/>
      <c r="S43" s="726"/>
      <c r="T43" s="726"/>
      <c r="U43" s="726"/>
      <c r="V43" s="726"/>
      <c r="W43" s="726"/>
      <c r="X43" s="726"/>
      <c r="Y43" s="726"/>
      <c r="Z43" s="726"/>
      <c r="AA43" s="726"/>
      <c r="AB43" s="726"/>
      <c r="AC43" s="726"/>
      <c r="AD43" s="726"/>
      <c r="AE43" s="726"/>
      <c r="AF43" s="726"/>
      <c r="AG43" s="726"/>
      <c r="AH43" s="726"/>
      <c r="AI43" s="130"/>
      <c r="AJ43" s="129"/>
      <c r="AL43" s="129"/>
      <c r="AM43" s="129"/>
      <c r="AN43" s="129"/>
      <c r="AO43" s="129"/>
      <c r="AP43" s="129"/>
      <c r="AQ43" s="129"/>
      <c r="AR43" s="129"/>
      <c r="AS43" s="129"/>
      <c r="AT43" s="129"/>
      <c r="AU43" s="129"/>
      <c r="AV43" s="129"/>
    </row>
    <row r="44" spans="1:50" ht="20.25" customHeight="1">
      <c r="A44" s="129"/>
      <c r="B44" s="129"/>
      <c r="C44" s="1034" t="s">
        <v>3175</v>
      </c>
      <c r="D44" s="515"/>
      <c r="E44" s="515"/>
      <c r="F44" s="515"/>
      <c r="G44" s="515"/>
      <c r="H44" s="515"/>
      <c r="I44" s="515"/>
      <c r="J44" s="515"/>
      <c r="K44" s="515"/>
      <c r="L44" s="516"/>
      <c r="M44" s="516"/>
      <c r="N44" s="517"/>
      <c r="O44" s="515"/>
      <c r="P44" s="515"/>
      <c r="Q44" s="129"/>
      <c r="R44" s="145"/>
      <c r="S44" s="726"/>
      <c r="T44" s="726"/>
      <c r="U44" s="726"/>
      <c r="V44" s="726"/>
      <c r="W44" s="726"/>
      <c r="X44" s="726"/>
      <c r="Y44" s="726"/>
      <c r="Z44" s="726"/>
      <c r="AA44" s="726"/>
      <c r="AB44" s="726"/>
      <c r="AC44" s="726"/>
      <c r="AD44" s="726"/>
      <c r="AE44" s="726"/>
      <c r="AF44" s="726"/>
      <c r="AG44" s="726"/>
      <c r="AH44" s="726"/>
      <c r="AI44" s="130"/>
      <c r="AJ44" s="129"/>
      <c r="AK44" s="131" t="s">
        <v>2217</v>
      </c>
      <c r="AL44" s="129"/>
      <c r="AM44" s="129"/>
      <c r="AN44" s="129"/>
      <c r="AO44" s="129"/>
      <c r="AP44" s="129"/>
      <c r="AQ44" s="129"/>
      <c r="AR44" s="129"/>
      <c r="AS44" s="129"/>
      <c r="AT44" s="129"/>
      <c r="AU44" s="129"/>
      <c r="AV44" s="129"/>
      <c r="AW44" s="129"/>
      <c r="AX44" s="129"/>
    </row>
    <row r="45" spans="1:50" ht="17.25" customHeight="1">
      <c r="A45" s="129"/>
      <c r="B45" s="129"/>
      <c r="C45" s="253"/>
      <c r="D45" s="1225" t="str">
        <f>IF(Menu_CodeVersion="WSEC 2018","Table R406.2 Fuel Normalization Credits","Table R406.2 Energy Equalization Credits")</f>
        <v>Table R406.2 Energy Equalization Credits</v>
      </c>
      <c r="E45" s="1225"/>
      <c r="F45" s="1225"/>
      <c r="G45" s="1225"/>
      <c r="H45" s="1225"/>
      <c r="I45" s="1225"/>
      <c r="J45" s="1225"/>
      <c r="K45" s="1225"/>
      <c r="L45" s="1225"/>
      <c r="M45" s="1225"/>
      <c r="N45" s="1225"/>
      <c r="O45" s="254"/>
      <c r="P45" s="255"/>
      <c r="Q45" s="129"/>
      <c r="R45" s="145"/>
      <c r="S45" s="726"/>
      <c r="T45" s="726"/>
      <c r="U45" s="726"/>
      <c r="V45" s="726"/>
      <c r="W45" s="726"/>
      <c r="X45" s="726"/>
      <c r="Y45" s="726"/>
      <c r="Z45" s="726"/>
      <c r="AA45" s="726"/>
      <c r="AB45" s="726"/>
      <c r="AC45" s="726"/>
      <c r="AD45" s="726"/>
      <c r="AE45" s="726"/>
      <c r="AF45" s="726"/>
      <c r="AG45" s="726"/>
      <c r="AH45" s="726"/>
      <c r="AI45" s="130"/>
      <c r="AJ45" s="129"/>
      <c r="AK45" s="131"/>
      <c r="AL45" s="129"/>
      <c r="AM45" s="129"/>
      <c r="AN45" s="129"/>
      <c r="AO45" s="129"/>
      <c r="AP45" s="129"/>
      <c r="AQ45" s="129"/>
      <c r="AR45" s="129"/>
      <c r="AS45" s="129"/>
      <c r="AT45" s="129"/>
      <c r="AU45" s="129"/>
      <c r="AV45" s="129"/>
      <c r="AW45" s="129"/>
      <c r="AX45" s="129"/>
    </row>
    <row r="46" spans="1:50" ht="45.75" customHeight="1">
      <c r="A46" s="129"/>
      <c r="B46" s="129"/>
      <c r="C46" s="1134" t="s">
        <v>2375</v>
      </c>
      <c r="D46" s="1134"/>
      <c r="E46" s="1214" t="s">
        <v>2374</v>
      </c>
      <c r="F46" s="1214"/>
      <c r="G46" s="1172"/>
      <c r="H46" s="1222" t="s">
        <v>2373</v>
      </c>
      <c r="I46" s="1223"/>
      <c r="J46" s="1223"/>
      <c r="K46" s="1224"/>
      <c r="L46" s="1151" t="s">
        <v>2780</v>
      </c>
      <c r="M46" s="1151"/>
      <c r="N46" s="1151" t="s">
        <v>2781</v>
      </c>
      <c r="O46" s="1151"/>
      <c r="P46" s="451" t="s">
        <v>2782</v>
      </c>
      <c r="Q46" s="129"/>
      <c r="R46" s="145"/>
      <c r="S46" s="726"/>
      <c r="T46" s="726"/>
      <c r="U46" s="726"/>
      <c r="V46" s="726"/>
      <c r="W46" s="726"/>
      <c r="X46" s="726"/>
      <c r="Y46" s="726"/>
      <c r="Z46" s="726"/>
      <c r="AA46" s="726"/>
      <c r="AB46" s="726"/>
      <c r="AC46" s="726"/>
      <c r="AD46" s="726"/>
      <c r="AE46" s="726"/>
      <c r="AF46" s="726"/>
      <c r="AG46" s="726"/>
      <c r="AH46" s="726"/>
      <c r="AI46" s="130"/>
      <c r="AJ46" s="129"/>
      <c r="AK46" s="131"/>
      <c r="AL46" s="129"/>
      <c r="AM46" s="129"/>
      <c r="AN46" s="129"/>
      <c r="AO46" s="129"/>
      <c r="AP46" s="129"/>
      <c r="AQ46" s="129"/>
      <c r="AR46" s="129"/>
      <c r="AS46" s="129"/>
      <c r="AT46" s="129"/>
      <c r="AU46" s="129"/>
      <c r="AV46" s="129"/>
      <c r="AW46" s="129"/>
      <c r="AX46" s="129"/>
    </row>
    <row r="47" spans="1:50" ht="99.75" customHeight="1">
      <c r="A47" s="129"/>
      <c r="B47" s="129"/>
      <c r="C47" s="1175">
        <f>IFERROR(VLOOKUP(H47,Table_FuelNormalization,3,FALSE),"")</f>
        <v>4</v>
      </c>
      <c r="D47" s="1175"/>
      <c r="E47" s="1215" t="str">
        <f>IFERROR(VLOOKUP(H47,Table_FuelNormalization,2,FALSE),"Error: Reselect System Type")</f>
        <v xml:space="preserve">For heating system using a heat pump that meets federal standards for the equipment listed in Table C403.3.2(2) or Table C403.3.2(9) OR Air to Water heat pump units that are configured to provide both heating and cooling and are rated in accordance with AHRI 550/590 </v>
      </c>
      <c r="F47" s="1215"/>
      <c r="G47" s="1216"/>
      <c r="H47" s="1226" t="s">
        <v>3074</v>
      </c>
      <c r="I47" s="1227"/>
      <c r="J47" s="1227"/>
      <c r="K47" s="1228"/>
      <c r="L47" s="1152">
        <f>IFERROR(IF(Menu_CodeVersion="WSEC 2015",0,VLOOKUP(H47,Table_FuelNormalization,H685,FALSE)),"NA")</f>
        <v>2</v>
      </c>
      <c r="M47" s="1152"/>
      <c r="N47" s="1152">
        <f>J61</f>
        <v>4.5</v>
      </c>
      <c r="O47" s="1152"/>
      <c r="P47" s="477">
        <f>IF(ISNUMBER(L47)=TRUE,L47+J61,N47)</f>
        <v>6.5</v>
      </c>
      <c r="Q47" s="129"/>
      <c r="R47" s="145"/>
      <c r="S47" s="726"/>
      <c r="T47" s="726"/>
      <c r="U47" s="726"/>
      <c r="V47" s="726"/>
      <c r="W47" s="726"/>
      <c r="X47" s="726"/>
      <c r="Y47" s="726"/>
      <c r="Z47" s="726"/>
      <c r="AA47" s="726"/>
      <c r="AB47" s="726"/>
      <c r="AC47" s="726"/>
      <c r="AD47" s="726"/>
      <c r="AE47" s="726"/>
      <c r="AF47" s="726"/>
      <c r="AG47" s="726"/>
      <c r="AH47" s="726"/>
      <c r="AI47" s="130"/>
      <c r="AJ47" s="129"/>
      <c r="AK47" s="131"/>
      <c r="AL47" s="129"/>
      <c r="AM47" s="129"/>
      <c r="AN47" s="129"/>
      <c r="AO47" s="129"/>
      <c r="AP47" s="129"/>
      <c r="AQ47" s="129"/>
      <c r="AR47" s="129"/>
      <c r="AS47" s="129"/>
      <c r="AT47" s="129"/>
      <c r="AU47" s="129"/>
      <c r="AV47" s="129"/>
      <c r="AW47" s="129"/>
      <c r="AX47" s="129"/>
    </row>
    <row r="48" spans="1:50" ht="15.75" customHeight="1">
      <c r="A48" s="129"/>
      <c r="B48" s="129"/>
      <c r="C48" s="129"/>
      <c r="D48" s="138"/>
      <c r="E48" s="129"/>
      <c r="F48" s="138"/>
      <c r="G48" s="138"/>
      <c r="H48" s="138"/>
      <c r="I48" s="138"/>
      <c r="J48" s="138"/>
      <c r="K48" s="138"/>
      <c r="L48" s="129"/>
      <c r="M48" s="138"/>
      <c r="N48" s="138"/>
      <c r="O48" s="129"/>
      <c r="P48" s="129"/>
      <c r="Q48" s="129"/>
      <c r="R48" s="145"/>
      <c r="S48" s="726"/>
      <c r="T48" s="726"/>
      <c r="U48" s="726"/>
      <c r="V48" s="726"/>
      <c r="W48" s="726"/>
      <c r="X48" s="726"/>
      <c r="Y48" s="726"/>
      <c r="Z48" s="726"/>
      <c r="AA48" s="726"/>
      <c r="AB48" s="726"/>
      <c r="AC48" s="726"/>
      <c r="AD48" s="726"/>
      <c r="AE48" s="726"/>
      <c r="AF48" s="726"/>
      <c r="AG48" s="726"/>
      <c r="AH48" s="726"/>
      <c r="AI48" s="130"/>
      <c r="AJ48" s="129"/>
      <c r="AK48" s="131"/>
      <c r="AL48" s="129"/>
      <c r="AM48" s="129"/>
      <c r="AN48" s="129"/>
      <c r="AO48" s="129"/>
      <c r="AP48" s="129"/>
      <c r="AQ48" s="129"/>
      <c r="AR48" s="129"/>
      <c r="AS48" s="129"/>
      <c r="AT48" s="129"/>
      <c r="AU48" s="129"/>
      <c r="AV48" s="129"/>
      <c r="AW48" s="129"/>
      <c r="AX48" s="129"/>
    </row>
    <row r="49" spans="1:50" ht="17.25" customHeight="1">
      <c r="A49" s="129"/>
      <c r="B49" s="129"/>
      <c r="C49" s="253"/>
      <c r="D49" s="1225" t="s">
        <v>2993</v>
      </c>
      <c r="E49" s="1225"/>
      <c r="F49" s="1225"/>
      <c r="G49" s="1225"/>
      <c r="H49" s="1225"/>
      <c r="I49" s="1225"/>
      <c r="J49" s="1225"/>
      <c r="K49" s="1225"/>
      <c r="L49" s="1225"/>
      <c r="M49" s="1225"/>
      <c r="N49" s="1225"/>
      <c r="O49" s="254"/>
      <c r="P49" s="255"/>
      <c r="Q49" s="129"/>
      <c r="R49" s="145"/>
      <c r="S49" s="726"/>
      <c r="T49" s="726"/>
      <c r="U49" s="726"/>
      <c r="V49" s="726"/>
      <c r="W49" s="726"/>
      <c r="X49" s="726"/>
      <c r="Y49" s="726"/>
      <c r="Z49" s="726"/>
      <c r="AA49" s="726"/>
      <c r="AB49" s="726"/>
      <c r="AC49" s="726"/>
      <c r="AD49" s="726"/>
      <c r="AE49" s="726"/>
      <c r="AF49" s="726"/>
      <c r="AG49" s="737"/>
      <c r="AH49" s="736"/>
      <c r="AI49" s="130"/>
      <c r="AJ49" s="129"/>
      <c r="AK49" s="202" t="s">
        <v>2295</v>
      </c>
      <c r="AL49" s="129"/>
      <c r="AM49" s="129"/>
      <c r="AN49" s="129"/>
      <c r="AO49" s="129"/>
      <c r="AP49" s="129"/>
      <c r="AQ49" s="129"/>
      <c r="AR49" s="129"/>
      <c r="AS49" s="129"/>
      <c r="AT49" s="129"/>
      <c r="AU49" s="129"/>
      <c r="AV49" s="129"/>
      <c r="AW49" s="129"/>
      <c r="AX49" s="129"/>
    </row>
    <row r="50" spans="1:50" ht="27.75" customHeight="1">
      <c r="A50" s="129"/>
      <c r="B50" s="129"/>
      <c r="C50" s="1134" t="s">
        <v>2492</v>
      </c>
      <c r="D50" s="1134"/>
      <c r="E50" s="1214" t="s">
        <v>2091</v>
      </c>
      <c r="F50" s="1214"/>
      <c r="G50" s="1172"/>
      <c r="H50" s="1151" t="s">
        <v>2093</v>
      </c>
      <c r="I50" s="1151"/>
      <c r="J50" s="1151" t="s">
        <v>2092</v>
      </c>
      <c r="K50" s="1151"/>
      <c r="L50" s="1219" t="s">
        <v>2420</v>
      </c>
      <c r="M50" s="1220"/>
      <c r="N50" s="1220"/>
      <c r="O50" s="1220"/>
      <c r="P50" s="1221"/>
      <c r="Q50" s="129"/>
      <c r="R50" s="145"/>
      <c r="S50" s="726"/>
      <c r="T50" s="726"/>
      <c r="U50" s="726"/>
      <c r="V50" s="726"/>
      <c r="W50" s="726"/>
      <c r="X50" s="726"/>
      <c r="Y50" s="726"/>
      <c r="Z50" s="726"/>
      <c r="AA50" s="726"/>
      <c r="AB50" s="726"/>
      <c r="AC50" s="726"/>
      <c r="AD50" s="726"/>
      <c r="AE50" s="726"/>
      <c r="AF50" s="726"/>
      <c r="AG50" s="726"/>
      <c r="AH50" s="726"/>
      <c r="AI50" s="130"/>
      <c r="AJ50" s="129"/>
      <c r="AK50" s="129"/>
      <c r="AL50" s="129"/>
      <c r="AM50" s="129"/>
      <c r="AN50" s="129"/>
      <c r="AO50" s="129"/>
      <c r="AP50" s="129"/>
      <c r="AQ50" s="129"/>
      <c r="AR50" s="129"/>
      <c r="AS50" s="129"/>
      <c r="AT50" s="129"/>
      <c r="AU50" s="129"/>
      <c r="AV50" s="129"/>
      <c r="AW50" s="129"/>
      <c r="AX50" s="129"/>
    </row>
    <row r="51" spans="1:50" ht="62.25" customHeight="1">
      <c r="A51" s="129"/>
      <c r="B51" s="129"/>
      <c r="C51" s="1175">
        <v>1</v>
      </c>
      <c r="D51" s="1175"/>
      <c r="E51" s="1173" t="s">
        <v>2079</v>
      </c>
      <c r="F51" s="1173"/>
      <c r="G51" s="1174"/>
      <c r="H51" s="1179" t="s">
        <v>2078</v>
      </c>
      <c r="I51" s="1179"/>
      <c r="J51" s="1147">
        <f>IFERROR(VLOOKUP(H51,Table_Option_1_Selected,2,FALSE),0)</f>
        <v>0</v>
      </c>
      <c r="K51" s="1148"/>
      <c r="L51" s="1201" t="str">
        <f>IFERROR(VLOOKUP(H51,Table_Option_1_Selected,3,FALSE)," ")</f>
        <v>-</v>
      </c>
      <c r="M51" s="1202"/>
      <c r="N51" s="1202"/>
      <c r="O51" s="1202"/>
      <c r="P51" s="1203"/>
      <c r="Q51" s="129"/>
      <c r="R51" s="145"/>
      <c r="S51" s="726"/>
      <c r="T51" s="726"/>
      <c r="U51" s="726"/>
      <c r="V51" s="726"/>
      <c r="W51" s="726"/>
      <c r="X51" s="726"/>
      <c r="Y51" s="726"/>
      <c r="Z51" s="726"/>
      <c r="AA51" s="726"/>
      <c r="AB51" s="726"/>
      <c r="AC51" s="726"/>
      <c r="AD51" s="726"/>
      <c r="AE51" s="726"/>
      <c r="AF51" s="1006" t="str">
        <f>IFERROR(G786,"")</f>
        <v/>
      </c>
      <c r="AG51" s="726"/>
      <c r="AH51" s="726"/>
      <c r="AI51" s="130"/>
      <c r="AJ51" s="129"/>
      <c r="AK51" s="180" t="s">
        <v>2213</v>
      </c>
      <c r="AL51" s="129"/>
      <c r="AM51" s="129"/>
      <c r="AN51" s="129"/>
      <c r="AO51" s="129"/>
      <c r="AP51" s="129"/>
      <c r="AQ51" s="129"/>
      <c r="AR51" s="129"/>
      <c r="AS51" s="129"/>
      <c r="AT51" s="129"/>
      <c r="AU51" s="129"/>
      <c r="AV51" s="129"/>
      <c r="AW51" s="129"/>
      <c r="AX51" s="129"/>
    </row>
    <row r="52" spans="1:50" ht="66" customHeight="1">
      <c r="A52" s="129"/>
      <c r="B52" s="129"/>
      <c r="C52" s="1175">
        <v>2</v>
      </c>
      <c r="D52" s="1175"/>
      <c r="E52" s="1173" t="s">
        <v>2083</v>
      </c>
      <c r="F52" s="1173"/>
      <c r="G52" s="1174"/>
      <c r="H52" s="1179" t="s">
        <v>2266</v>
      </c>
      <c r="I52" s="1179"/>
      <c r="J52" s="1147">
        <f>IFERROR(VLOOKUP(H52,Table_Option_2_Selected,2,FALSE),0)</f>
        <v>2</v>
      </c>
      <c r="K52" s="1148"/>
      <c r="L52" s="1141" t="str">
        <f>IFERROR(VLOOKUP(H52,Table_Option_2_Selected,3,FALSE)," ")</f>
        <v>Per Section R402.4.1.2 0.6ACH50 / For R-2, 0.15 cfm per ft2 at 50 Pa. /  HRV with min SHR eff of 0.80 per IRC Section M1505.3 or IMC Section 403.8</v>
      </c>
      <c r="M52" s="1142"/>
      <c r="N52" s="1142"/>
      <c r="O52" s="1142"/>
      <c r="P52" s="1143"/>
      <c r="Q52" s="129"/>
      <c r="R52" s="145"/>
      <c r="S52" s="726"/>
      <c r="T52" s="726"/>
      <c r="U52" s="726"/>
      <c r="V52" s="726"/>
      <c r="W52" s="726"/>
      <c r="X52" s="726"/>
      <c r="Y52" s="726"/>
      <c r="Z52" s="726"/>
      <c r="AA52" s="726"/>
      <c r="AB52" s="726"/>
      <c r="AC52" s="726"/>
      <c r="AD52" s="726"/>
      <c r="AE52" s="726"/>
      <c r="AF52" s="726"/>
      <c r="AG52" s="726"/>
      <c r="AH52" s="726"/>
      <c r="AI52" s="130"/>
      <c r="AJ52" s="129"/>
      <c r="AK52" s="180" t="s">
        <v>2107</v>
      </c>
      <c r="AL52" s="129"/>
      <c r="AM52" s="129"/>
      <c r="AN52" s="129"/>
      <c r="AO52" s="129"/>
      <c r="AP52" s="129"/>
      <c r="AQ52" s="129"/>
      <c r="AR52" s="129"/>
      <c r="AS52" s="129"/>
      <c r="AT52" s="129"/>
      <c r="AU52" s="129"/>
      <c r="AV52" s="129"/>
      <c r="AW52" s="129"/>
      <c r="AX52" s="129"/>
    </row>
    <row r="53" spans="1:50" ht="78.75" customHeight="1">
      <c r="A53" s="129"/>
      <c r="B53" s="129"/>
      <c r="C53" s="1175" t="str">
        <f>IF(Menu_CodeVersion="WSEC 2021","3.1 -3.10","3")</f>
        <v>3.1 -3.10</v>
      </c>
      <c r="D53" s="1175"/>
      <c r="E53" s="1173" t="s">
        <v>2084</v>
      </c>
      <c r="F53" s="1173"/>
      <c r="G53" s="1174"/>
      <c r="H53" s="1179" t="s">
        <v>2272</v>
      </c>
      <c r="I53" s="1179"/>
      <c r="J53" s="1147" t="str">
        <f>IFERROR(VLOOKUP(H53,Table_Option_3_Selected,2,FALSE),0)</f>
        <v>NA</v>
      </c>
      <c r="K53" s="1148"/>
      <c r="L53" s="1141" t="str">
        <f>IFERROR(IF(J53&lt;&gt;"NA",VLOOKUP(H53,Table_Option_3_Selected,3,FALSE),CONCATENATE(VLOOKUP(H53,Table_Option_3_Selected,3,FALSE)," -- Not applicable to R2 Multifamily")),"")</f>
        <v>Air source ducted Heat Pump w/ Min HSPF2 of 9.4 (HSPF of 11).  A ducted cold climate variable capacity heat pump on the NEEP qualified product list with a min HSPF2 of 8.5 (HSPF of 10) may be used to satisfy this requirement.  If htg design temp is 23F or below,a cold climate variable capacity heat pump is required. -- Not applicable to R2 Multifamily</v>
      </c>
      <c r="M53" s="1142"/>
      <c r="N53" s="1142"/>
      <c r="O53" s="1142"/>
      <c r="P53" s="1143"/>
      <c r="Q53" s="129"/>
      <c r="R53" s="145"/>
      <c r="S53" s="726"/>
      <c r="T53" s="726"/>
      <c r="U53" s="726"/>
      <c r="V53" s="726"/>
      <c r="W53" s="726"/>
      <c r="X53" s="726"/>
      <c r="Y53" s="726"/>
      <c r="Z53" s="726"/>
      <c r="AA53" s="726"/>
      <c r="AB53" s="726"/>
      <c r="AC53" s="726"/>
      <c r="AD53" s="726"/>
      <c r="AE53" s="726"/>
      <c r="AF53" s="1006" t="str">
        <f>IF(AND(MenuSelection_Option3&lt;&gt;"Option 3.10",Menu_CodeVersion="WSEC 2021",MenuSelection_Option5="Option 5.8"),"Select Option 3.10 with Option 5.8","")</f>
        <v/>
      </c>
      <c r="AG53" s="735"/>
      <c r="AH53" s="726"/>
      <c r="AI53" s="130"/>
      <c r="AJ53" s="129"/>
      <c r="AK53" s="180" t="s">
        <v>2058</v>
      </c>
      <c r="AL53" s="129"/>
      <c r="AM53" s="129"/>
      <c r="AN53" s="129"/>
      <c r="AO53" s="129"/>
      <c r="AP53" s="129"/>
      <c r="AQ53" s="129"/>
      <c r="AR53" s="129"/>
      <c r="AS53" s="129"/>
      <c r="AT53" s="129"/>
      <c r="AU53" s="129"/>
      <c r="AV53" s="129"/>
      <c r="AW53" s="129"/>
      <c r="AX53" s="129"/>
    </row>
    <row r="54" spans="1:50" ht="42" customHeight="1">
      <c r="A54" s="129"/>
      <c r="B54" s="129"/>
      <c r="C54" s="1180">
        <v>3.11</v>
      </c>
      <c r="D54" s="1180"/>
      <c r="E54" s="1183" t="s">
        <v>2868</v>
      </c>
      <c r="F54" s="1173"/>
      <c r="G54" s="1174"/>
      <c r="H54" s="1217"/>
      <c r="I54" s="1218"/>
      <c r="J54" s="1147" t="str">
        <f>IF(OR(MenuSelection_Option3="Option 3.1",MenuSelection_Option3="Option 3.2",MenuSelection_Option3="Not Selected",MenuSelection_Option3=""),IFERROR(VLOOKUP(H54,Table_Option_39_Selected,2,FALSE),0),"NA")</f>
        <v>NA</v>
      </c>
      <c r="K54" s="1148"/>
      <c r="L54" s="1144" t="str">
        <f>IF(OR(H54="",H54="Not Selected"),"",IF(AND(J54="NA",H54="Option 3.11"),"Option 3.11 can only be taken with Option 3.1 or 3.2",IFERROR(IF(J54&lt;&gt;"NA",VLOOKUP(H54,Table_Option_39_Selected,3,FALSE),CONCATENATE(VLOOKUP(H54,Table_Option_3_Selected,3,FALSE)," -- Not applicable to R2 Multifamily")),"")))</f>
        <v/>
      </c>
      <c r="M54" s="1145"/>
      <c r="N54" s="1145"/>
      <c r="O54" s="1145"/>
      <c r="P54" s="1146"/>
      <c r="Q54" s="129"/>
      <c r="R54" s="145"/>
      <c r="S54" s="726"/>
      <c r="T54" s="726"/>
      <c r="U54" s="726"/>
      <c r="V54" s="726"/>
      <c r="W54" s="726"/>
      <c r="X54" s="726"/>
      <c r="Y54" s="726"/>
      <c r="Z54" s="726"/>
      <c r="AA54" s="726"/>
      <c r="AB54" s="726"/>
      <c r="AC54" s="726"/>
      <c r="AD54" s="726"/>
      <c r="AE54" s="726"/>
      <c r="AF54" s="726"/>
      <c r="AG54" s="726"/>
      <c r="AH54" s="726"/>
      <c r="AI54" s="130"/>
      <c r="AJ54" s="129"/>
      <c r="AK54" s="180"/>
      <c r="AL54" s="129"/>
      <c r="AM54" s="129"/>
      <c r="AN54" s="129"/>
      <c r="AO54" s="129"/>
      <c r="AP54" s="129"/>
      <c r="AQ54" s="129"/>
      <c r="AR54" s="129"/>
      <c r="AS54" s="129"/>
      <c r="AT54" s="129"/>
      <c r="AU54" s="129"/>
      <c r="AV54" s="129"/>
      <c r="AW54" s="129"/>
      <c r="AX54" s="129"/>
    </row>
    <row r="55" spans="1:50" ht="51.75" customHeight="1">
      <c r="A55" s="129"/>
      <c r="B55" s="129"/>
      <c r="C55" s="1175">
        <v>4</v>
      </c>
      <c r="D55" s="1175"/>
      <c r="E55" s="1173" t="s">
        <v>441</v>
      </c>
      <c r="F55" s="1173"/>
      <c r="G55" s="1174"/>
      <c r="H55" s="1179"/>
      <c r="I55" s="1179"/>
      <c r="J55" s="1147">
        <f>IF(Menu_Option4="",0,IF(Flag_IsDuctless=1,"NA",IFERROR(VLOOKUP(H55,Table_Option_4_Selected,2,FALSE),0)))</f>
        <v>0</v>
      </c>
      <c r="K55" s="1148"/>
      <c r="L55" s="1144" t="str">
        <f>IFERROR(IF(J55&lt;&gt;"NA",VLOOKUP(H55,Table_Option_4_Selected,3,FALSE),CONCATENATE(VLOOKUP(H55,Table_Option_4_Selected,3,FALSE)," - Not applicable to ductless system  selected in Option 3")),"")</f>
        <v/>
      </c>
      <c r="M55" s="1145"/>
      <c r="N55" s="1145"/>
      <c r="O55" s="1145"/>
      <c r="P55" s="1146"/>
      <c r="Q55" s="129"/>
      <c r="R55" s="976"/>
      <c r="S55" s="726"/>
      <c r="T55" s="726"/>
      <c r="U55" s="726"/>
      <c r="V55" s="726"/>
      <c r="W55" s="726"/>
      <c r="X55" s="726"/>
      <c r="Y55" s="726"/>
      <c r="Z55" s="726"/>
      <c r="AA55" s="726"/>
      <c r="AB55" s="726"/>
      <c r="AC55" s="726"/>
      <c r="AD55" s="726"/>
      <c r="AE55" s="726"/>
      <c r="AF55" s="726"/>
      <c r="AG55" s="726"/>
      <c r="AH55" s="726"/>
      <c r="AI55" s="130"/>
      <c r="AJ55" s="129"/>
      <c r="AK55" s="180" t="s">
        <v>2059</v>
      </c>
      <c r="AL55" s="129"/>
      <c r="AM55" s="129"/>
      <c r="AN55" s="129"/>
      <c r="AO55" s="129"/>
      <c r="AP55" s="129"/>
      <c r="AQ55" s="129"/>
      <c r="AR55" s="129"/>
      <c r="AS55" s="129"/>
      <c r="AT55" s="129"/>
      <c r="AU55" s="129"/>
      <c r="AV55" s="129"/>
      <c r="AW55" s="129"/>
      <c r="AX55" s="129"/>
    </row>
    <row r="56" spans="1:50" ht="51.75" customHeight="1">
      <c r="A56" s="129"/>
      <c r="B56" s="129"/>
      <c r="C56" s="1175" t="str">
        <f>IF(Menu_CodeVersion="WSEC 2015","5a","5.1")</f>
        <v>5.1</v>
      </c>
      <c r="D56" s="1175"/>
      <c r="E56" s="1173" t="s">
        <v>2862</v>
      </c>
      <c r="F56" s="1173"/>
      <c r="G56" s="1174"/>
      <c r="H56" s="1179"/>
      <c r="I56" s="1179"/>
      <c r="J56" s="1147">
        <f>IFERROR(VLOOKUP(H56,Table_Option_51_Selected,2,FALSE),0)</f>
        <v>0</v>
      </c>
      <c r="K56" s="1148"/>
      <c r="L56" s="1144" t="str">
        <f>IFERROR(VLOOKUP(H56,Table_Option_51_Selected,3,FALSE)," ")</f>
        <v xml:space="preserve"> </v>
      </c>
      <c r="M56" s="1145"/>
      <c r="N56" s="1145"/>
      <c r="O56" s="1145"/>
      <c r="P56" s="1146"/>
      <c r="Q56" s="129"/>
      <c r="R56" s="145"/>
      <c r="S56" s="726"/>
      <c r="T56" s="726"/>
      <c r="U56" s="726"/>
      <c r="V56" s="726"/>
      <c r="W56" s="726"/>
      <c r="X56" s="726"/>
      <c r="Y56" s="726"/>
      <c r="Z56" s="726"/>
      <c r="AA56" s="726"/>
      <c r="AB56" s="726"/>
      <c r="AC56" s="726"/>
      <c r="AD56" s="726"/>
      <c r="AE56" s="726"/>
      <c r="AF56" s="726"/>
      <c r="AG56" s="726"/>
      <c r="AH56" s="726"/>
      <c r="AI56" s="130"/>
      <c r="AJ56" s="129"/>
      <c r="AK56" s="180" t="s">
        <v>2061</v>
      </c>
      <c r="AL56" s="129"/>
      <c r="AM56" s="129"/>
      <c r="AN56" s="129"/>
      <c r="AO56" s="129"/>
      <c r="AP56" s="129"/>
      <c r="AQ56" s="129"/>
      <c r="AR56" s="129"/>
      <c r="AS56" s="129"/>
      <c r="AT56" s="129"/>
      <c r="AU56" s="129"/>
      <c r="AV56" s="129"/>
      <c r="AW56" s="129"/>
      <c r="AX56" s="129"/>
    </row>
    <row r="57" spans="1:50" ht="39.75" customHeight="1">
      <c r="A57" s="129"/>
      <c r="B57" s="129"/>
      <c r="C57" s="1182">
        <v>5.2</v>
      </c>
      <c r="D57" s="1182"/>
      <c r="E57" s="1173" t="s">
        <v>2863</v>
      </c>
      <c r="F57" s="1173"/>
      <c r="G57" s="1174"/>
      <c r="H57" s="1179" t="s">
        <v>2078</v>
      </c>
      <c r="I57" s="1179"/>
      <c r="J57" s="1147">
        <f>IFERROR(VLOOKUP(H57,Table_Option_52_Selected,2,TRUE),0)</f>
        <v>0</v>
      </c>
      <c r="K57" s="1148"/>
      <c r="L57" s="1144">
        <f>IFERROR(VLOOKUP(H57,Table_Option_52_Selected,3,TRUE)," ")</f>
        <v>0</v>
      </c>
      <c r="M57" s="1145"/>
      <c r="N57" s="1145"/>
      <c r="O57" s="1145"/>
      <c r="P57" s="1146"/>
      <c r="Q57" s="129"/>
      <c r="R57" s="145"/>
      <c r="S57" s="726"/>
      <c r="T57" s="726"/>
      <c r="U57" s="726"/>
      <c r="V57" s="726"/>
      <c r="W57" s="726"/>
      <c r="X57" s="726"/>
      <c r="Y57" s="726"/>
      <c r="Z57" s="726"/>
      <c r="AA57" s="726"/>
      <c r="AB57" s="726"/>
      <c r="AC57" s="726"/>
      <c r="AD57" s="726"/>
      <c r="AE57" s="726"/>
      <c r="AF57" s="968"/>
      <c r="AG57" s="726"/>
      <c r="AH57" s="726"/>
      <c r="AI57" s="130"/>
      <c r="AJ57" s="129"/>
      <c r="AK57" s="180"/>
      <c r="AL57" s="129"/>
      <c r="AM57" s="129"/>
      <c r="AN57" s="129"/>
      <c r="AO57" s="129"/>
      <c r="AP57" s="129"/>
      <c r="AQ57" s="129"/>
      <c r="AR57" s="129"/>
      <c r="AS57" s="129"/>
      <c r="AT57" s="129"/>
      <c r="AU57" s="129"/>
      <c r="AV57" s="129"/>
      <c r="AW57" s="129"/>
      <c r="AX57" s="129"/>
    </row>
    <row r="58" spans="1:50" ht="42" customHeight="1">
      <c r="A58" s="129"/>
      <c r="B58" s="129"/>
      <c r="C58" s="1175" t="str">
        <f>IF(Menu_CodeVersion="WSEC 2021","5.3-5.8","5.2-5.6")</f>
        <v>5.3-5.8</v>
      </c>
      <c r="D58" s="1175"/>
      <c r="E58" s="1173" t="s">
        <v>2081</v>
      </c>
      <c r="F58" s="1173"/>
      <c r="G58" s="1174"/>
      <c r="H58" s="1179" t="s">
        <v>2281</v>
      </c>
      <c r="I58" s="1179"/>
      <c r="J58" s="1147">
        <f>IFERROR(VLOOKUP(H58,Table_Option_5_Selected,2,FALSE),0)</f>
        <v>2.5</v>
      </c>
      <c r="K58" s="1148"/>
      <c r="L58" s="1144" t="str">
        <f>IFERROR(VLOOKUP(H58,Table_Option_5_Selected,3,FALSE)," ")</f>
        <v>Electric heat pump water heater meeting NEEA Tier 3.  For R2, must serve all units, any recirc piping must be insulated to R8</v>
      </c>
      <c r="M58" s="1145"/>
      <c r="N58" s="1145"/>
      <c r="O58" s="1145"/>
      <c r="P58" s="1146"/>
      <c r="Q58" s="1001" t="str">
        <f>IF(AND(MenuSelection_Option3="Option 3.10",Menu_CodeVersion="WSEC 2021",H58&lt;&gt;"Option 5.8"),"Select Option 5.8 with Option 3.10","")</f>
        <v/>
      </c>
      <c r="R58" s="976"/>
      <c r="S58" s="726"/>
      <c r="T58" s="726"/>
      <c r="U58" s="726"/>
      <c r="V58" s="726"/>
      <c r="W58" s="726"/>
      <c r="X58" s="726"/>
      <c r="Y58" s="726"/>
      <c r="Z58" s="726"/>
      <c r="AA58" s="726"/>
      <c r="AB58" s="726"/>
      <c r="AC58" s="726"/>
      <c r="AD58" s="726"/>
      <c r="AE58" s="726"/>
      <c r="AF58" s="1006" t="str">
        <f>IF(Menu_UseOfCalculator=MenuItem_UserDefinedBaseline,"---",IF(AND(MenuSelection_Option3="Option 3.10",Menu_CodeVersion="WSEC 2021",H58&lt;&gt;"Option 5.8"),"Select Option 5.8 with Option 3.10",""))</f>
        <v/>
      </c>
      <c r="AG58" s="726"/>
      <c r="AH58" s="726"/>
      <c r="AI58" s="129"/>
      <c r="AJ58" s="129"/>
      <c r="AK58" s="180" t="s">
        <v>2108</v>
      </c>
      <c r="AL58" s="129"/>
      <c r="AM58" s="129"/>
      <c r="AN58" s="129"/>
      <c r="AO58" s="129"/>
      <c r="AP58" s="129"/>
      <c r="AQ58" s="129"/>
      <c r="AR58" s="129"/>
      <c r="AS58" s="129"/>
      <c r="AT58" s="129"/>
      <c r="AU58" s="129"/>
      <c r="AV58" s="129"/>
      <c r="AW58" s="129"/>
      <c r="AX58" s="129"/>
    </row>
    <row r="59" spans="1:50" ht="36.950000000000003" customHeight="1">
      <c r="A59" s="129"/>
      <c r="B59" s="129"/>
      <c r="C59" s="1181">
        <v>6</v>
      </c>
      <c r="D59" s="1181"/>
      <c r="E59" s="256" t="s">
        <v>442</v>
      </c>
      <c r="F59" s="252">
        <v>3000</v>
      </c>
      <c r="G59" s="257" t="s">
        <v>1965</v>
      </c>
      <c r="H59" s="1179"/>
      <c r="I59" s="1179"/>
      <c r="J59" s="1147">
        <f>IFERROR(VLOOKUP(H59,Table_Option_6_Selected,2,FALSE),0)</f>
        <v>0</v>
      </c>
      <c r="K59" s="1148"/>
      <c r="L59" s="1201" t="str">
        <f>IF(OR(H59="Not Selected",H59=""),"",IFERROR(IF(AND(F59&lt;&gt;0,F59&lt;&gt;" "),VLOOKUP(H59,Table_Option_6_Selected,3,FALSE),"Error: Enter annual electrical generation per housing unit in kWh"),""))</f>
        <v/>
      </c>
      <c r="M59" s="1202"/>
      <c r="N59" s="1202"/>
      <c r="O59" s="1202"/>
      <c r="P59" s="1203"/>
      <c r="Q59" s="129"/>
      <c r="R59" s="145"/>
      <c r="S59" s="726"/>
      <c r="T59" s="726"/>
      <c r="U59" s="726"/>
      <c r="V59" s="726"/>
      <c r="W59" s="726"/>
      <c r="X59" s="726"/>
      <c r="Y59" s="726"/>
      <c r="Z59" s="726"/>
      <c r="AA59" s="726"/>
      <c r="AB59" s="726"/>
      <c r="AC59" s="726"/>
      <c r="AD59" s="726"/>
      <c r="AE59" s="726"/>
      <c r="AF59" s="726"/>
      <c r="AG59" s="726"/>
      <c r="AH59" s="726"/>
      <c r="AI59" s="129"/>
      <c r="AJ59" s="129"/>
      <c r="AK59" s="180" t="s">
        <v>2167</v>
      </c>
      <c r="AL59" s="129"/>
      <c r="AM59" s="129"/>
      <c r="AN59" s="129"/>
      <c r="AO59" s="129"/>
      <c r="AP59" s="129"/>
      <c r="AQ59" s="129"/>
      <c r="AR59" s="129"/>
      <c r="AS59" s="129"/>
      <c r="AT59" s="129"/>
      <c r="AU59" s="129"/>
      <c r="AV59" s="129"/>
      <c r="AW59" s="129"/>
      <c r="AX59" s="129"/>
    </row>
    <row r="60" spans="1:50" ht="36.950000000000003" customHeight="1">
      <c r="A60" s="129"/>
      <c r="B60" s="129"/>
      <c r="C60" s="1175">
        <v>7</v>
      </c>
      <c r="D60" s="1175"/>
      <c r="E60" s="1173" t="s">
        <v>2285</v>
      </c>
      <c r="F60" s="1173"/>
      <c r="G60" s="1174"/>
      <c r="H60" s="1179"/>
      <c r="I60" s="1179"/>
      <c r="J60" s="1147">
        <f>IFERROR(VLOOKUP(H60,Table_Option_7_Selected,2,FALSE),0)</f>
        <v>0</v>
      </c>
      <c r="K60" s="1148"/>
      <c r="L60" s="1144" t="str">
        <f>IFERROR(VLOOKUP(H60,Table_Option_7_Selected,3,FALSE)," ")</f>
        <v xml:space="preserve"> </v>
      </c>
      <c r="M60" s="1145"/>
      <c r="N60" s="1145"/>
      <c r="O60" s="1145"/>
      <c r="P60" s="1146"/>
      <c r="Q60" s="129"/>
      <c r="R60" s="145"/>
      <c r="S60" s="726"/>
      <c r="T60" s="726"/>
      <c r="U60" s="726"/>
      <c r="V60" s="726"/>
      <c r="W60" s="726"/>
      <c r="X60" s="726"/>
      <c r="Y60" s="726"/>
      <c r="Z60" s="726"/>
      <c r="AA60" s="726"/>
      <c r="AB60" s="726"/>
      <c r="AC60" s="726"/>
      <c r="AD60" s="726"/>
      <c r="AE60" s="726"/>
      <c r="AF60" s="726"/>
      <c r="AG60" s="726"/>
      <c r="AH60" s="726"/>
      <c r="AI60" s="129"/>
      <c r="AJ60" s="129"/>
      <c r="AK60" s="180" t="s">
        <v>2109</v>
      </c>
      <c r="AL60" s="129"/>
      <c r="AM60" s="129"/>
      <c r="AN60" s="129"/>
      <c r="AO60" s="129"/>
      <c r="AP60" s="129"/>
      <c r="AQ60" s="129"/>
      <c r="AR60" s="129"/>
      <c r="AS60" s="129"/>
      <c r="AT60" s="129"/>
      <c r="AU60" s="129"/>
      <c r="AV60" s="129"/>
      <c r="AW60" s="129"/>
      <c r="AX60" s="129"/>
    </row>
    <row r="61" spans="1:50" ht="18.75" customHeight="1">
      <c r="A61" s="129"/>
      <c r="B61" s="129"/>
      <c r="C61" s="1153"/>
      <c r="D61" s="1154"/>
      <c r="E61" s="173"/>
      <c r="F61" s="173"/>
      <c r="G61" s="258"/>
      <c r="H61" s="259"/>
      <c r="I61" s="260" t="s">
        <v>2092</v>
      </c>
      <c r="J61" s="1169">
        <f>SUBTOTAL(109,J51:J60)</f>
        <v>4.5</v>
      </c>
      <c r="K61" s="1170"/>
      <c r="L61" s="172"/>
      <c r="M61" s="173"/>
      <c r="N61" s="173"/>
      <c r="O61" s="173"/>
      <c r="P61" s="174"/>
      <c r="Q61" s="129"/>
      <c r="R61" s="145"/>
      <c r="S61" s="145"/>
      <c r="T61" s="145"/>
      <c r="U61" s="145"/>
      <c r="V61" s="145"/>
      <c r="W61" s="145"/>
      <c r="X61" s="145"/>
      <c r="Y61" s="145"/>
      <c r="Z61" s="145"/>
      <c r="AA61" s="145"/>
      <c r="AB61" s="145"/>
      <c r="AC61" s="145"/>
      <c r="AD61" s="145"/>
      <c r="AE61" s="145"/>
      <c r="AF61" s="145"/>
      <c r="AG61" s="145"/>
      <c r="AH61" s="145"/>
      <c r="AI61" s="129"/>
      <c r="AJ61" s="129"/>
      <c r="AK61" s="193" t="s">
        <v>2186</v>
      </c>
      <c r="AL61" s="129"/>
      <c r="AM61" s="129"/>
      <c r="AN61" s="129"/>
      <c r="AO61" s="129"/>
      <c r="AP61" s="129"/>
      <c r="AQ61" s="129"/>
      <c r="AR61" s="129"/>
      <c r="AS61" s="129"/>
      <c r="AT61" s="129"/>
      <c r="AU61" s="129"/>
      <c r="AV61" s="129"/>
      <c r="AW61" s="129"/>
      <c r="AX61" s="129"/>
    </row>
    <row r="62" spans="1:50" ht="15.75" customHeight="1">
      <c r="A62" s="129"/>
      <c r="B62" s="129"/>
      <c r="C62" s="129"/>
      <c r="D62" s="138"/>
      <c r="E62" s="133" t="str">
        <f>IF(Menu_CodeVersion=K399,"*Refer to WSEC 2021 Table R406.3 for complete option descriptions and requirements","*Refer to WSEC 2018 Table R406.3 for complete option descriptions and requirements")</f>
        <v>*Refer to WSEC 2021 Table R406.3 for complete option descriptions and requirements</v>
      </c>
      <c r="F62" s="138"/>
      <c r="G62" s="138"/>
      <c r="H62" s="138"/>
      <c r="I62" s="1178" t="s">
        <v>3204</v>
      </c>
      <c r="J62" s="1178"/>
      <c r="K62" s="1178"/>
      <c r="L62" s="1178"/>
      <c r="M62" s="1178"/>
      <c r="N62" s="1178"/>
      <c r="O62" s="1178"/>
      <c r="P62" s="1178"/>
      <c r="Q62" s="129"/>
      <c r="R62" s="129"/>
      <c r="S62" s="129"/>
      <c r="T62" s="129"/>
      <c r="U62" s="129"/>
      <c r="V62" s="129"/>
      <c r="W62" s="129"/>
      <c r="X62" s="129"/>
      <c r="Y62" s="129"/>
      <c r="Z62" s="129"/>
      <c r="AA62" s="129"/>
      <c r="AB62" s="129"/>
      <c r="AC62" s="129"/>
      <c r="AD62" s="129"/>
      <c r="AE62" s="129"/>
      <c r="AF62" s="129"/>
      <c r="AG62" s="129"/>
      <c r="AH62" s="129"/>
      <c r="AI62" s="129"/>
      <c r="AJ62" s="129"/>
      <c r="AK62" s="180" t="s">
        <v>2181</v>
      </c>
      <c r="AL62" s="129"/>
      <c r="AM62" s="129"/>
      <c r="AN62" s="129"/>
      <c r="AO62" s="129"/>
      <c r="AP62" s="129"/>
      <c r="AQ62" s="129"/>
      <c r="AR62" s="129"/>
      <c r="AS62" s="129"/>
      <c r="AT62" s="129"/>
      <c r="AU62" s="129"/>
      <c r="AV62" s="129"/>
      <c r="AW62" s="129"/>
      <c r="AX62" s="129"/>
    </row>
    <row r="63" spans="1:50" ht="15.75" customHeight="1">
      <c r="A63" s="129"/>
      <c r="B63" s="129"/>
      <c r="C63" s="510"/>
      <c r="D63" s="511"/>
      <c r="E63" s="511"/>
      <c r="F63" s="511"/>
      <c r="G63" s="511"/>
      <c r="H63" s="511"/>
      <c r="I63" s="511"/>
      <c r="J63" s="511"/>
      <c r="K63" s="511"/>
      <c r="L63" s="510"/>
      <c r="M63" s="511"/>
      <c r="N63" s="511"/>
      <c r="O63" s="510"/>
      <c r="P63" s="510"/>
      <c r="Q63" s="129"/>
      <c r="R63" s="129"/>
      <c r="S63" s="129"/>
      <c r="T63" s="129"/>
      <c r="U63" s="129"/>
      <c r="V63" s="129"/>
      <c r="W63" s="129"/>
      <c r="X63" s="129"/>
      <c r="Y63" s="129"/>
      <c r="Z63" s="129"/>
      <c r="AA63" s="129"/>
      <c r="AB63" s="129"/>
      <c r="AC63" s="129"/>
      <c r="AD63" s="129"/>
      <c r="AE63" s="129"/>
      <c r="AF63" s="129"/>
      <c r="AG63" s="129"/>
      <c r="AH63" s="129"/>
      <c r="AI63" s="129"/>
      <c r="AJ63" s="129"/>
      <c r="AK63" s="180"/>
      <c r="AL63" s="129"/>
      <c r="AM63" s="129"/>
      <c r="AN63" s="129"/>
      <c r="AO63" s="129"/>
      <c r="AP63" s="129"/>
      <c r="AQ63" s="129"/>
      <c r="AR63" s="129"/>
      <c r="AS63" s="129"/>
      <c r="AT63" s="129"/>
      <c r="AU63" s="129"/>
      <c r="AV63" s="129"/>
      <c r="AW63" s="129"/>
      <c r="AX63" s="129"/>
    </row>
    <row r="64" spans="1:50" ht="18.75" customHeight="1">
      <c r="A64" s="588"/>
      <c r="B64" s="518"/>
      <c r="C64" s="304" t="s">
        <v>2423</v>
      </c>
      <c r="D64" s="303"/>
      <c r="E64" s="773"/>
      <c r="F64" s="773"/>
      <c r="G64" s="773"/>
      <c r="H64" s="303"/>
      <c r="I64" s="303"/>
      <c r="J64" s="303"/>
      <c r="K64" s="303"/>
      <c r="L64" s="303"/>
      <c r="M64" s="303"/>
      <c r="N64" s="303"/>
      <c r="O64" s="303"/>
      <c r="P64" s="305"/>
      <c r="Q64" s="129"/>
      <c r="R64" s="323" t="s">
        <v>2424</v>
      </c>
      <c r="S64" s="207"/>
      <c r="T64" s="207"/>
      <c r="U64" s="207"/>
      <c r="V64" s="207"/>
      <c r="W64" s="207"/>
      <c r="X64" s="207"/>
      <c r="Y64" s="207"/>
      <c r="Z64" s="207"/>
      <c r="AA64" s="207"/>
      <c r="AB64" s="207"/>
      <c r="AC64" s="207"/>
      <c r="AD64" s="207"/>
      <c r="AE64" s="208"/>
      <c r="AF64" s="129"/>
      <c r="AG64" s="129"/>
      <c r="AH64" s="129"/>
      <c r="AI64" s="129"/>
      <c r="AJ64" s="129"/>
      <c r="AL64" s="129"/>
      <c r="AM64" s="129"/>
      <c r="AN64" s="129"/>
      <c r="AO64" s="129"/>
      <c r="AP64" s="129"/>
      <c r="AQ64" s="129"/>
      <c r="AR64" s="129"/>
      <c r="AS64" s="129"/>
      <c r="AT64" s="129"/>
      <c r="AU64" s="129"/>
      <c r="AV64" s="129"/>
    </row>
    <row r="65" spans="1:49" ht="18.75" customHeight="1">
      <c r="A65" s="129"/>
      <c r="B65" s="129"/>
      <c r="C65" s="216"/>
      <c r="D65" s="238"/>
      <c r="E65" s="774"/>
      <c r="F65" s="775"/>
      <c r="G65" s="769" t="str">
        <f>IFERROR(CONCATENATE(Message_FloorArea,", Proposed Design"),"Conditioned Floor Area, Proposed Design")</f>
        <v>Conditioned Floor Area, Proposed Design</v>
      </c>
      <c r="H65" s="772">
        <v>2100</v>
      </c>
      <c r="I65" s="238" t="s">
        <v>2042</v>
      </c>
      <c r="J65" s="238"/>
      <c r="K65" s="238"/>
      <c r="L65" s="238"/>
      <c r="M65" s="218"/>
      <c r="N65" s="218"/>
      <c r="O65" s="218"/>
      <c r="P65" s="219"/>
      <c r="Q65" s="129"/>
      <c r="R65" s="216"/>
      <c r="S65" s="238"/>
      <c r="T65" s="499" t="s">
        <v>2804</v>
      </c>
      <c r="U65" s="170">
        <v>2216</v>
      </c>
      <c r="V65" s="238" t="s">
        <v>2042</v>
      </c>
      <c r="W65" s="238"/>
      <c r="X65" s="238"/>
      <c r="Y65" s="238"/>
      <c r="Z65" s="238"/>
      <c r="AA65" s="238"/>
      <c r="AB65" s="238"/>
      <c r="AC65" s="238"/>
      <c r="AD65" s="238"/>
      <c r="AE65" s="219"/>
      <c r="AF65" s="129"/>
      <c r="AG65" s="129"/>
      <c r="AH65" s="129"/>
      <c r="AI65" s="129"/>
      <c r="AJ65" s="129"/>
      <c r="AK65" s="96"/>
      <c r="AL65" s="129"/>
      <c r="AM65" s="129"/>
      <c r="AN65" s="129"/>
      <c r="AO65" s="129"/>
      <c r="AP65" s="129"/>
      <c r="AQ65" s="129"/>
      <c r="AR65" s="129"/>
      <c r="AS65" s="129"/>
      <c r="AT65" s="129"/>
      <c r="AU65" s="129"/>
      <c r="AV65" s="129"/>
      <c r="AW65" s="129"/>
    </row>
    <row r="66" spans="1:49" ht="18.75" customHeight="1">
      <c r="A66" s="129"/>
      <c r="B66" s="129"/>
      <c r="C66" s="220"/>
      <c r="D66" s="225"/>
      <c r="E66" s="225"/>
      <c r="F66" s="225"/>
      <c r="G66" s="250" t="s">
        <v>2237</v>
      </c>
      <c r="H66" s="450" t="str">
        <f>IF($H$65&gt;0,$F$399,"Enter floor area to determine classification")</f>
        <v>Medium Dwelling Unit</v>
      </c>
      <c r="I66" s="225"/>
      <c r="J66" s="225"/>
      <c r="K66" s="225"/>
      <c r="L66" s="225"/>
      <c r="M66" s="212"/>
      <c r="N66" s="212"/>
      <c r="O66" s="212"/>
      <c r="P66" s="223"/>
      <c r="Q66" s="129"/>
      <c r="R66" s="220"/>
      <c r="S66" s="225"/>
      <c r="T66" s="249"/>
      <c r="U66" s="607"/>
      <c r="V66" s="360"/>
      <c r="W66" s="360"/>
      <c r="X66" s="360"/>
      <c r="Y66" s="360"/>
      <c r="Z66" s="360"/>
      <c r="AA66" s="360"/>
      <c r="AB66" s="360"/>
      <c r="AC66" s="360"/>
      <c r="AD66" s="360"/>
      <c r="AE66" s="223"/>
      <c r="AF66" s="129"/>
      <c r="AG66" s="129"/>
      <c r="AH66" s="129"/>
      <c r="AI66" s="129"/>
      <c r="AJ66" s="129"/>
      <c r="AK66" s="96"/>
      <c r="AL66" s="129"/>
      <c r="AM66" s="129"/>
      <c r="AN66" s="129"/>
      <c r="AO66" s="129"/>
      <c r="AP66" s="129"/>
      <c r="AQ66" s="129"/>
      <c r="AR66" s="129"/>
      <c r="AS66" s="129"/>
      <c r="AT66" s="129"/>
      <c r="AU66" s="129"/>
      <c r="AV66" s="129"/>
      <c r="AW66" s="129"/>
    </row>
    <row r="67" spans="1:49" ht="18.75" customHeight="1">
      <c r="A67" s="129"/>
      <c r="B67" s="129"/>
      <c r="C67" s="220"/>
      <c r="D67" s="225"/>
      <c r="E67" s="1159" t="s">
        <v>2353</v>
      </c>
      <c r="F67" s="1160"/>
      <c r="G67" s="1161"/>
      <c r="H67" s="1162"/>
      <c r="I67" s="1163"/>
      <c r="J67" s="1163"/>
      <c r="K67" s="1163"/>
      <c r="L67" s="1163"/>
      <c r="M67" s="1163"/>
      <c r="N67" s="1163"/>
      <c r="O67" s="1164"/>
      <c r="P67" s="608"/>
      <c r="Q67" s="129"/>
      <c r="R67" s="220"/>
      <c r="S67" s="225"/>
      <c r="T67" s="604" t="str">
        <f>E67</f>
        <v>Notes</v>
      </c>
      <c r="U67" s="1162"/>
      <c r="V67" s="1163"/>
      <c r="W67" s="1163"/>
      <c r="X67" s="1163"/>
      <c r="Y67" s="1163"/>
      <c r="Z67" s="1163"/>
      <c r="AA67" s="1163"/>
      <c r="AB67" s="1164"/>
      <c r="AC67" s="608"/>
      <c r="AD67" s="273"/>
      <c r="AE67" s="273"/>
      <c r="AF67" s="129"/>
      <c r="AG67" s="129"/>
      <c r="AH67" s="129"/>
      <c r="AI67" s="129"/>
      <c r="AJ67" s="129"/>
      <c r="AK67" s="96"/>
      <c r="AL67" s="129"/>
      <c r="AM67" s="129"/>
      <c r="AN67" s="129"/>
      <c r="AO67" s="129"/>
      <c r="AP67" s="129"/>
      <c r="AQ67" s="129"/>
      <c r="AR67" s="129"/>
      <c r="AS67" s="129"/>
      <c r="AT67" s="129"/>
      <c r="AU67" s="129"/>
      <c r="AV67" s="129"/>
      <c r="AW67" s="129"/>
    </row>
    <row r="68" spans="1:49" ht="14.25" customHeight="1">
      <c r="A68" s="129"/>
      <c r="B68" s="129"/>
      <c r="C68" s="266"/>
      <c r="D68" s="137"/>
      <c r="E68" s="204"/>
      <c r="F68" s="137"/>
      <c r="G68" s="137"/>
      <c r="H68" s="609"/>
      <c r="I68" s="361"/>
      <c r="J68" s="361"/>
      <c r="K68" s="361"/>
      <c r="L68" s="361"/>
      <c r="M68" s="610"/>
      <c r="N68" s="610"/>
      <c r="O68" s="610"/>
      <c r="P68" s="611"/>
      <c r="Q68" s="129"/>
      <c r="R68" s="266"/>
      <c r="S68" s="137"/>
      <c r="T68" s="204"/>
      <c r="U68" s="609"/>
      <c r="V68" s="361"/>
      <c r="W68" s="361"/>
      <c r="X68" s="361"/>
      <c r="Y68" s="361"/>
      <c r="Z68" s="610"/>
      <c r="AA68" s="610"/>
      <c r="AB68" s="610"/>
      <c r="AC68" s="611"/>
      <c r="AD68" s="273"/>
      <c r="AE68" s="273"/>
      <c r="AF68" s="129"/>
      <c r="AG68" s="129"/>
      <c r="AH68" s="129"/>
      <c r="AI68" s="129"/>
      <c r="AJ68" s="129"/>
      <c r="AK68" s="202" t="s">
        <v>2209</v>
      </c>
      <c r="AL68" s="129"/>
      <c r="AM68" s="129"/>
      <c r="AN68" s="129"/>
      <c r="AO68" s="129"/>
      <c r="AP68" s="129"/>
      <c r="AQ68" s="129"/>
      <c r="AR68" s="129"/>
      <c r="AS68" s="129"/>
      <c r="AT68" s="129"/>
      <c r="AU68" s="129"/>
      <c r="AV68" s="129"/>
      <c r="AW68" s="129"/>
    </row>
    <row r="69" spans="1:49" ht="15.75" customHeight="1">
      <c r="A69" s="129"/>
      <c r="B69" s="129"/>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202" t="s">
        <v>2210</v>
      </c>
      <c r="AL69" s="129"/>
      <c r="AM69" s="129"/>
      <c r="AN69" s="129"/>
      <c r="AO69" s="129"/>
      <c r="AP69" s="129"/>
      <c r="AQ69" s="129"/>
      <c r="AR69" s="129"/>
      <c r="AS69" s="129"/>
      <c r="AT69" s="129"/>
      <c r="AU69" s="129"/>
      <c r="AV69" s="129"/>
      <c r="AW69" s="129"/>
    </row>
    <row r="70" spans="1:49" ht="20.100000000000001" customHeight="1">
      <c r="A70" s="129"/>
      <c r="B70" s="129"/>
      <c r="C70" s="261"/>
      <c r="D70" s="267" t="s">
        <v>1355</v>
      </c>
      <c r="E70" s="262"/>
      <c r="F70" s="262"/>
      <c r="G70" s="263"/>
      <c r="H70" s="263"/>
      <c r="I70" s="263"/>
      <c r="J70" s="263"/>
      <c r="K70" s="263"/>
      <c r="L70" s="263"/>
      <c r="M70" s="263"/>
      <c r="N70" s="263"/>
      <c r="O70" s="264"/>
      <c r="P70" s="428"/>
      <c r="Q70" s="129"/>
      <c r="R70" s="253"/>
      <c r="S70" s="325" t="s">
        <v>1355</v>
      </c>
      <c r="T70" s="262"/>
      <c r="U70" s="262"/>
      <c r="V70" s="263"/>
      <c r="W70" s="263"/>
      <c r="X70" s="263"/>
      <c r="Y70" s="263"/>
      <c r="Z70" s="263"/>
      <c r="AA70" s="263"/>
      <c r="AB70" s="263"/>
      <c r="AC70" s="263"/>
      <c r="AD70" s="264"/>
      <c r="AE70" s="432"/>
      <c r="AF70" s="432"/>
      <c r="AG70" s="129"/>
      <c r="AH70" s="129"/>
      <c r="AI70" s="129"/>
      <c r="AJ70" s="129"/>
      <c r="AK70" s="202" t="s">
        <v>2218</v>
      </c>
      <c r="AL70" s="129"/>
      <c r="AM70" s="129"/>
      <c r="AN70" s="129"/>
      <c r="AO70" s="129"/>
      <c r="AP70" s="129"/>
      <c r="AQ70" s="129"/>
      <c r="AR70" s="129"/>
      <c r="AS70" s="129"/>
      <c r="AT70" s="129"/>
      <c r="AU70" s="129"/>
      <c r="AV70" s="129"/>
      <c r="AW70" s="129"/>
    </row>
    <row r="71" spans="1:49" ht="15.75" customHeight="1">
      <c r="A71" s="129"/>
      <c r="B71" s="129"/>
      <c r="C71" s="216"/>
      <c r="D71" s="279" t="s">
        <v>1337</v>
      </c>
      <c r="E71" s="279" t="s">
        <v>1339</v>
      </c>
      <c r="F71" s="279"/>
      <c r="G71" s="280" t="s">
        <v>1356</v>
      </c>
      <c r="H71" s="279"/>
      <c r="I71" s="1134" t="s">
        <v>1362</v>
      </c>
      <c r="J71" s="1134"/>
      <c r="K71" s="1134" t="s">
        <v>1346</v>
      </c>
      <c r="L71" s="1134"/>
      <c r="M71" s="279"/>
      <c r="N71" s="279"/>
      <c r="O71" s="219"/>
      <c r="P71" s="429"/>
      <c r="Q71" s="129"/>
      <c r="R71" s="216"/>
      <c r="S71" s="290" t="s">
        <v>1337</v>
      </c>
      <c r="T71" s="324" t="s">
        <v>1339</v>
      </c>
      <c r="U71" s="279"/>
      <c r="V71" s="280" t="s">
        <v>1356</v>
      </c>
      <c r="W71" s="279"/>
      <c r="X71" s="1134" t="s">
        <v>1362</v>
      </c>
      <c r="Y71" s="1134"/>
      <c r="Z71" s="1134" t="s">
        <v>1346</v>
      </c>
      <c r="AA71" s="1134"/>
      <c r="AB71" s="279"/>
      <c r="AC71" s="279"/>
      <c r="AD71" s="219"/>
      <c r="AE71" s="432"/>
      <c r="AF71" s="432"/>
      <c r="AG71" s="129"/>
      <c r="AH71" s="129"/>
      <c r="AI71" s="129"/>
      <c r="AJ71" s="129"/>
      <c r="AK71" s="202" t="s">
        <v>2215</v>
      </c>
      <c r="AL71" s="129"/>
      <c r="AM71" s="129"/>
      <c r="AN71" s="129"/>
      <c r="AO71" s="129"/>
      <c r="AP71" s="129"/>
      <c r="AQ71" s="129"/>
      <c r="AR71" s="129"/>
      <c r="AS71" s="129"/>
      <c r="AT71" s="129"/>
      <c r="AU71" s="129"/>
      <c r="AV71" s="129"/>
      <c r="AW71" s="129"/>
    </row>
    <row r="72" spans="1:49" ht="15.75" customHeight="1">
      <c r="A72" s="129"/>
      <c r="B72" s="129"/>
      <c r="C72" s="220"/>
      <c r="D72" s="279" t="s">
        <v>1338</v>
      </c>
      <c r="E72" s="279" t="s">
        <v>1340</v>
      </c>
      <c r="F72" s="279" t="s">
        <v>1354</v>
      </c>
      <c r="G72" s="279" t="s">
        <v>1342</v>
      </c>
      <c r="H72" s="279" t="s">
        <v>1349</v>
      </c>
      <c r="I72" s="279" t="s">
        <v>1347</v>
      </c>
      <c r="J72" s="281" t="s">
        <v>1348</v>
      </c>
      <c r="K72" s="279" t="s">
        <v>1347</v>
      </c>
      <c r="L72" s="281" t="s">
        <v>1348</v>
      </c>
      <c r="M72" s="279" t="s">
        <v>1343</v>
      </c>
      <c r="N72" s="279" t="s">
        <v>1344</v>
      </c>
      <c r="O72" s="223"/>
      <c r="P72" s="429"/>
      <c r="Q72" s="129"/>
      <c r="R72" s="220"/>
      <c r="S72" s="293" t="s">
        <v>1338</v>
      </c>
      <c r="T72" s="324" t="s">
        <v>1340</v>
      </c>
      <c r="U72" s="279" t="s">
        <v>1354</v>
      </c>
      <c r="V72" s="279" t="s">
        <v>1342</v>
      </c>
      <c r="W72" s="279" t="s">
        <v>1349</v>
      </c>
      <c r="X72" s="279" t="s">
        <v>1347</v>
      </c>
      <c r="Y72" s="281" t="s">
        <v>1348</v>
      </c>
      <c r="Z72" s="279" t="s">
        <v>1347</v>
      </c>
      <c r="AA72" s="281" t="s">
        <v>1348</v>
      </c>
      <c r="AB72" s="279" t="s">
        <v>1343</v>
      </c>
      <c r="AC72" s="279" t="s">
        <v>1344</v>
      </c>
      <c r="AD72" s="223"/>
      <c r="AE72" s="432"/>
      <c r="AF72" s="432"/>
      <c r="AG72" s="129"/>
      <c r="AH72" s="129"/>
      <c r="AI72" s="129"/>
      <c r="AJ72" s="129"/>
      <c r="AL72" s="129"/>
      <c r="AM72" s="129"/>
      <c r="AN72" s="129"/>
      <c r="AO72" s="129"/>
      <c r="AP72" s="129"/>
      <c r="AQ72" s="129"/>
      <c r="AR72" s="129"/>
      <c r="AS72" s="129"/>
      <c r="AT72" s="129"/>
      <c r="AU72" s="129"/>
      <c r="AV72" s="129"/>
      <c r="AW72" s="129"/>
    </row>
    <row r="73" spans="1:49" ht="15.75" hidden="1" customHeight="1">
      <c r="A73" s="129"/>
      <c r="B73" s="129"/>
      <c r="C73" s="220"/>
      <c r="D73" s="293" t="s">
        <v>2326</v>
      </c>
      <c r="E73" s="140"/>
      <c r="F73" s="282" t="str">
        <f t="shared" ref="F73:F83" si="7">IFERROR(VLOOKUP($E73,Table_Doors,2,FALSE),"")</f>
        <v/>
      </c>
      <c r="G73" s="283" t="str">
        <f t="shared" ref="G73:G83" si="8">IFERROR(VLOOKUP($E73,Table_Doors,3,FALSE),"")</f>
        <v/>
      </c>
      <c r="H73" s="71"/>
      <c r="I73" s="72"/>
      <c r="J73" s="73"/>
      <c r="K73" s="72"/>
      <c r="L73" s="73"/>
      <c r="M73" s="284">
        <f t="shared" ref="M73:M83" si="9">IFERROR(H73*(I73+(J73/12))*(K73+(L73/12)),"")</f>
        <v>0</v>
      </c>
      <c r="N73" s="285">
        <f>IFERROR(G73*M73,0)</f>
        <v>0</v>
      </c>
      <c r="O73" s="273">
        <f>IF(AND(M73&gt;24,F19&lt;&gt;"R2 Multifamily"),1,IF(AND(F73="Custom",G73=0),1,IF(AND(G73="",SUM(H73:L73)=0),0,IF(AND(G73&lt;&gt;"",M73&gt;0),0,1))))</f>
        <v>0</v>
      </c>
      <c r="P73" s="430" t="str">
        <f>IF(M73&gt;24,IF(F19="R2 Multifamily","Verify exempt doors are 24sf or less per dwelling unit.","Exempt Door&gt;24 sf"),IF(F73="Custom",IF(G73=0,"U-value missing in Custom Input","Refer to WSEC R402.1.5 U-factor Reference and Calculations"),""))</f>
        <v/>
      </c>
      <c r="Q73" s="129"/>
      <c r="R73" s="220"/>
      <c r="S73" s="293"/>
      <c r="T73" s="324"/>
      <c r="U73" s="279"/>
      <c r="V73" s="279"/>
      <c r="W73" s="279"/>
      <c r="X73" s="279"/>
      <c r="Y73" s="281"/>
      <c r="Z73" s="279"/>
      <c r="AA73" s="281"/>
      <c r="AB73" s="279"/>
      <c r="AC73" s="279"/>
      <c r="AD73" s="223"/>
      <c r="AE73" s="432"/>
      <c r="AF73" s="432"/>
      <c r="AG73" s="129"/>
      <c r="AH73" s="129"/>
      <c r="AI73" s="129"/>
      <c r="AJ73" s="129"/>
      <c r="AL73" s="129"/>
      <c r="AM73" s="129"/>
      <c r="AN73" s="129"/>
      <c r="AO73" s="129"/>
      <c r="AP73" s="129"/>
      <c r="AQ73" s="129"/>
      <c r="AR73" s="129"/>
      <c r="AS73" s="129"/>
      <c r="AT73" s="129"/>
      <c r="AU73" s="129"/>
      <c r="AV73" s="129"/>
      <c r="AW73" s="129"/>
    </row>
    <row r="74" spans="1:49" ht="15.75" customHeight="1">
      <c r="A74" s="129"/>
      <c r="B74" s="129"/>
      <c r="C74" s="220"/>
      <c r="D74" s="777" t="s">
        <v>3224</v>
      </c>
      <c r="E74" s="140" t="s">
        <v>2576</v>
      </c>
      <c r="F74" s="282">
        <f t="shared" si="7"/>
        <v>0</v>
      </c>
      <c r="G74" s="283">
        <f t="shared" si="8"/>
        <v>0.3</v>
      </c>
      <c r="H74" s="71">
        <v>1</v>
      </c>
      <c r="I74" s="72">
        <v>3</v>
      </c>
      <c r="J74" s="589">
        <v>2</v>
      </c>
      <c r="K74" s="72">
        <v>6</v>
      </c>
      <c r="L74" s="589">
        <v>10</v>
      </c>
      <c r="M74" s="284">
        <f t="shared" si="9"/>
        <v>21.638888888888886</v>
      </c>
      <c r="N74" s="285">
        <f>IFERROR(G74*M74,0)</f>
        <v>6.4916666666666654</v>
      </c>
      <c r="O74" s="443">
        <f t="shared" ref="O74:O76" si="10">IF(AND(TRIM(E74)="",OR(M74=0,M74="")),0,IF(AND(E74="",M74&gt;0),1,IF(AND(E74&lt;&gt;"",N74=0),1,IF(AND(F74="Custom",G74=0),1,IF(AND(G74="",SUM(H74:L74)=0),0,IF(AND(G74&lt;&gt;"",M74&gt;0),0,1))))))</f>
        <v>0</v>
      </c>
      <c r="P74" s="430" t="str">
        <f>IF(F74="Custom",IF(G74=0,"U-value missing in Custom Input","Refer to WSEC R402.1.5 U-factor Reference and Calculations"),"")</f>
        <v/>
      </c>
      <c r="Q74" s="129"/>
      <c r="R74" s="333" t="s">
        <v>1350</v>
      </c>
      <c r="S74" s="327"/>
      <c r="T74" s="140" t="s">
        <v>2576</v>
      </c>
      <c r="U74" s="282">
        <f t="shared" ref="U74:U83" si="11">IFERROR(VLOOKUP($T74,Table_Doors,2,FALSE),"")</f>
        <v>0</v>
      </c>
      <c r="V74" s="283">
        <f t="shared" ref="V74:V83" si="12">IFERROR(VLOOKUP($T74,Table_Doors,3,FALSE),"")</f>
        <v>0.3</v>
      </c>
      <c r="W74" s="71">
        <v>1</v>
      </c>
      <c r="X74" s="72">
        <v>3</v>
      </c>
      <c r="Y74" s="589"/>
      <c r="Z74" s="72">
        <v>6</v>
      </c>
      <c r="AA74" s="589">
        <v>8</v>
      </c>
      <c r="AB74" s="284">
        <f t="shared" ref="AB74:AB83" si="13">W74*(X74+(Y74/12))*(Z74+(AA74/12))</f>
        <v>20</v>
      </c>
      <c r="AC74" s="328">
        <f>IFERROR(V74*AB74,0)</f>
        <v>6</v>
      </c>
      <c r="AD74" s="443">
        <f>IF(AND(T74="",AB74=0),0,IF(AND(T74="",AB74&gt;0),1,IF(AND(T74&lt;&gt;"",AC74=0),1,IF(AND(U74="Custom",V74=0),1,IF(AND(V74="",SUM(W74:AA74)=0),0,IF(AND(V74&lt;&gt;"",AB74&gt;0),0,1))))))</f>
        <v>0</v>
      </c>
      <c r="AE74" s="427" t="str">
        <f>IF(U74="Custom","Refer to WSEC R402.1.5 U-factor Reference and Calculations","")</f>
        <v/>
      </c>
      <c r="AF74" s="432"/>
      <c r="AG74" s="129"/>
      <c r="AH74" s="129"/>
      <c r="AI74" s="129"/>
      <c r="AJ74" s="129"/>
      <c r="AK74" s="180" t="s">
        <v>2211</v>
      </c>
      <c r="AL74" s="129"/>
      <c r="AM74" s="129"/>
      <c r="AN74" s="129"/>
      <c r="AO74" s="129"/>
      <c r="AP74" s="129"/>
      <c r="AQ74" s="129"/>
      <c r="AR74" s="129"/>
      <c r="AS74" s="129"/>
      <c r="AT74" s="129"/>
      <c r="AU74" s="129"/>
      <c r="AV74" s="129"/>
      <c r="AW74" s="129"/>
    </row>
    <row r="75" spans="1:49" ht="15.75" customHeight="1">
      <c r="A75" s="129"/>
      <c r="B75" s="129"/>
      <c r="C75" s="220"/>
      <c r="D75" s="777" t="s">
        <v>3225</v>
      </c>
      <c r="E75" s="140" t="s">
        <v>2576</v>
      </c>
      <c r="F75" s="282">
        <f t="shared" si="7"/>
        <v>0</v>
      </c>
      <c r="G75" s="283">
        <f t="shared" si="8"/>
        <v>0.3</v>
      </c>
      <c r="H75" s="71">
        <v>1</v>
      </c>
      <c r="I75" s="72">
        <v>7</v>
      </c>
      <c r="J75" s="589">
        <v>0</v>
      </c>
      <c r="K75" s="72">
        <v>6</v>
      </c>
      <c r="L75" s="589">
        <v>10</v>
      </c>
      <c r="M75" s="284">
        <f t="shared" si="9"/>
        <v>47.833333333333329</v>
      </c>
      <c r="N75" s="286">
        <f t="shared" ref="N75:N76" si="14">IFERROR(G75*M75,0)</f>
        <v>14.349999999999998</v>
      </c>
      <c r="O75" s="443">
        <f t="shared" si="10"/>
        <v>0</v>
      </c>
      <c r="P75" s="430" t="str">
        <f t="shared" ref="P75:P76" si="15">IF(F75="Custom",IF(G75=0,"U-value missing in Custom Input","Refer to WSEC R402.1.5 U-factor Reference and Calculations"),"")</f>
        <v/>
      </c>
      <c r="Q75" s="129"/>
      <c r="R75" s="333" t="s">
        <v>1350</v>
      </c>
      <c r="S75" s="70"/>
      <c r="T75" s="140"/>
      <c r="U75" s="282" t="str">
        <f t="shared" si="11"/>
        <v/>
      </c>
      <c r="V75" s="283" t="str">
        <f t="shared" si="12"/>
        <v/>
      </c>
      <c r="W75" s="71"/>
      <c r="X75" s="72"/>
      <c r="Y75" s="589"/>
      <c r="Z75" s="72"/>
      <c r="AA75" s="589"/>
      <c r="AB75" s="284">
        <f t="shared" si="13"/>
        <v>0</v>
      </c>
      <c r="AC75" s="286">
        <f t="shared" ref="AC75:AC83" si="16">IFERROR(V75*AB75,0)</f>
        <v>0</v>
      </c>
      <c r="AD75" s="443">
        <f t="shared" ref="AD75:AD83" si="17">IF(AND(T75="",AB75=0),0,IF(AND(T75="",AB75&gt;0),1,IF(AND(T75&lt;&gt;"",AC75=0),1,IF(AND(U75="Custom",V75=0),1,IF(AND(V75="",SUM(W75:AA75)=0),0,IF(AND(V75&lt;&gt;"",AB75&gt;0),0,1))))))</f>
        <v>0</v>
      </c>
      <c r="AE75" s="427" t="str">
        <f t="shared" ref="AE75:AE83" si="18">IF(U75="Custom","Refer to WSEC R402.1.5 U-factor Reference and Calculations","")</f>
        <v/>
      </c>
      <c r="AF75" s="432"/>
      <c r="AG75" s="129"/>
      <c r="AH75" s="129"/>
      <c r="AI75" s="129"/>
      <c r="AJ75" s="129"/>
      <c r="AL75" s="129"/>
      <c r="AM75" s="129"/>
      <c r="AN75" s="129"/>
      <c r="AO75" s="129"/>
      <c r="AP75" s="129"/>
      <c r="AQ75" s="129"/>
      <c r="AR75" s="129"/>
      <c r="AS75" s="129"/>
      <c r="AT75" s="129"/>
      <c r="AU75" s="129"/>
      <c r="AV75" s="129"/>
      <c r="AW75" s="129"/>
    </row>
    <row r="76" spans="1:49" ht="15.75" customHeight="1">
      <c r="A76" s="129"/>
      <c r="B76" s="129"/>
      <c r="C76" s="220"/>
      <c r="D76" s="445" t="s">
        <v>3226</v>
      </c>
      <c r="E76" s="140" t="s">
        <v>2576</v>
      </c>
      <c r="F76" s="282">
        <f t="shared" si="7"/>
        <v>0</v>
      </c>
      <c r="G76" s="283">
        <f t="shared" si="8"/>
        <v>0.3</v>
      </c>
      <c r="H76" s="71">
        <v>1</v>
      </c>
      <c r="I76" s="72">
        <v>3</v>
      </c>
      <c r="J76" s="589">
        <v>2</v>
      </c>
      <c r="K76" s="72">
        <v>6</v>
      </c>
      <c r="L76" s="589">
        <v>10</v>
      </c>
      <c r="M76" s="284">
        <f t="shared" si="9"/>
        <v>21.638888888888886</v>
      </c>
      <c r="N76" s="286">
        <f t="shared" si="14"/>
        <v>6.4916666666666654</v>
      </c>
      <c r="O76" s="443">
        <f t="shared" si="10"/>
        <v>0</v>
      </c>
      <c r="P76" s="430" t="str">
        <f t="shared" si="15"/>
        <v/>
      </c>
      <c r="Q76" s="129"/>
      <c r="R76" s="333" t="s">
        <v>1350</v>
      </c>
      <c r="S76" s="70"/>
      <c r="T76" s="140"/>
      <c r="U76" s="282" t="str">
        <f t="shared" si="11"/>
        <v/>
      </c>
      <c r="V76" s="283" t="str">
        <f t="shared" si="12"/>
        <v/>
      </c>
      <c r="W76" s="71"/>
      <c r="X76" s="72"/>
      <c r="Y76" s="589"/>
      <c r="Z76" s="72"/>
      <c r="AA76" s="589"/>
      <c r="AB76" s="284">
        <f t="shared" si="13"/>
        <v>0</v>
      </c>
      <c r="AC76" s="286">
        <f t="shared" si="16"/>
        <v>0</v>
      </c>
      <c r="AD76" s="443">
        <f t="shared" si="17"/>
        <v>0</v>
      </c>
      <c r="AE76" s="427" t="str">
        <f t="shared" si="18"/>
        <v/>
      </c>
      <c r="AF76" s="432"/>
      <c r="AG76" s="129"/>
      <c r="AH76" s="129"/>
      <c r="AI76" s="129"/>
      <c r="AJ76" s="129"/>
      <c r="AK76" s="96" t="s">
        <v>2238</v>
      </c>
      <c r="AL76" s="129"/>
      <c r="AM76" s="129"/>
      <c r="AN76" s="129"/>
      <c r="AO76" s="129"/>
      <c r="AP76" s="129"/>
      <c r="AQ76" s="129"/>
      <c r="AR76" s="129"/>
      <c r="AS76" s="129"/>
      <c r="AT76" s="129"/>
      <c r="AU76" s="129"/>
      <c r="AV76" s="129"/>
      <c r="AW76" s="129"/>
    </row>
    <row r="77" spans="1:49" ht="15.75" customHeight="1">
      <c r="A77" s="129"/>
      <c r="B77" s="129"/>
      <c r="C77" s="220"/>
      <c r="D77" s="70"/>
      <c r="E77" s="140"/>
      <c r="F77" s="282" t="str">
        <f t="shared" si="7"/>
        <v/>
      </c>
      <c r="G77" s="283" t="str">
        <f t="shared" si="8"/>
        <v/>
      </c>
      <c r="H77" s="1072"/>
      <c r="I77" s="1073"/>
      <c r="J77" s="589"/>
      <c r="K77" s="1073"/>
      <c r="L77" s="589"/>
      <c r="M77" s="284">
        <f t="shared" si="9"/>
        <v>0</v>
      </c>
      <c r="N77" s="286">
        <f t="shared" ref="N77:N78" si="19">IFERROR(G77*M77,0)</f>
        <v>0</v>
      </c>
      <c r="O77" s="443">
        <f>IF(AND(TRIM(E77)="",OR(M77=0,M77="")),0,IF(AND(E77="",M77&gt;0),1,IF(AND(E77&lt;&gt;"",N77=0),1,IF(AND(F77="Custom",G77=0),1,IF(AND(G77="",SUM(H77:L77)=0),0,IF(AND(G77&lt;&gt;"",M77&gt;0),0,1))))))</f>
        <v>0</v>
      </c>
      <c r="P77" s="430" t="str">
        <f t="shared" ref="P77:P78" si="20">IF(F77="Custom",IF(G77=0,"U-value missing in Custom Input","Refer to WSEC R402.1.5 U-factor Reference and Calculations"),"")</f>
        <v/>
      </c>
      <c r="Q77" s="129"/>
      <c r="R77" s="333" t="s">
        <v>1350</v>
      </c>
      <c r="S77" s="70"/>
      <c r="T77" s="140"/>
      <c r="U77" s="282" t="str">
        <f t="shared" si="11"/>
        <v/>
      </c>
      <c r="V77" s="283" t="str">
        <f t="shared" si="12"/>
        <v/>
      </c>
      <c r="W77" s="71"/>
      <c r="X77" s="72"/>
      <c r="Y77" s="589"/>
      <c r="Z77" s="72"/>
      <c r="AA77" s="589"/>
      <c r="AB77" s="284">
        <f t="shared" si="13"/>
        <v>0</v>
      </c>
      <c r="AC77" s="286">
        <f t="shared" si="16"/>
        <v>0</v>
      </c>
      <c r="AD77" s="443">
        <f t="shared" si="17"/>
        <v>0</v>
      </c>
      <c r="AE77" s="427" t="str">
        <f t="shared" si="18"/>
        <v/>
      </c>
      <c r="AF77" s="432"/>
      <c r="AG77" s="129"/>
      <c r="AH77" s="129"/>
      <c r="AI77" s="129"/>
      <c r="AJ77" s="129"/>
      <c r="AK77" s="180" t="s">
        <v>2212</v>
      </c>
      <c r="AL77" s="129"/>
      <c r="AM77" s="129"/>
      <c r="AN77" s="129"/>
      <c r="AO77" s="129"/>
      <c r="AP77" s="129"/>
      <c r="AQ77" s="129"/>
      <c r="AR77" s="129"/>
      <c r="AS77" s="129"/>
      <c r="AT77" s="129"/>
      <c r="AU77" s="129"/>
      <c r="AV77" s="129"/>
      <c r="AW77" s="129"/>
    </row>
    <row r="78" spans="1:49" ht="15.75" customHeight="1">
      <c r="A78" s="129"/>
      <c r="B78" s="129"/>
      <c r="C78" s="220"/>
      <c r="D78" s="70"/>
      <c r="E78" s="140"/>
      <c r="F78" s="282" t="str">
        <f t="shared" si="7"/>
        <v/>
      </c>
      <c r="G78" s="283" t="str">
        <f t="shared" si="8"/>
        <v/>
      </c>
      <c r="H78" s="71"/>
      <c r="I78" s="72"/>
      <c r="J78" s="589"/>
      <c r="K78" s="72"/>
      <c r="L78" s="589"/>
      <c r="M78" s="284">
        <f t="shared" si="9"/>
        <v>0</v>
      </c>
      <c r="N78" s="286">
        <f t="shared" si="19"/>
        <v>0</v>
      </c>
      <c r="O78" s="443">
        <f t="shared" ref="O78:O83" si="21">IF(AND(TRIM(E78)="",OR(M78=0,M78="")),0,IF(AND(E78="",M78&gt;0),1,IF(AND(E78&lt;&gt;"",N78=0),1,IF(AND(F78="Custom",G78=0),1,IF(AND(G78="",SUM(H78:L78)=0),0,IF(AND(G78&lt;&gt;"",M78&gt;0),0,1))))))</f>
        <v>0</v>
      </c>
      <c r="P78" s="430" t="str">
        <f t="shared" si="20"/>
        <v/>
      </c>
      <c r="Q78" s="129"/>
      <c r="R78" s="333"/>
      <c r="S78" s="70"/>
      <c r="T78" s="140"/>
      <c r="U78" s="282"/>
      <c r="V78" s="283"/>
      <c r="W78" s="71"/>
      <c r="X78" s="72"/>
      <c r="Y78" s="589"/>
      <c r="Z78" s="72"/>
      <c r="AA78" s="589"/>
      <c r="AB78" s="284"/>
      <c r="AC78" s="286"/>
      <c r="AD78" s="443"/>
      <c r="AE78" s="427"/>
      <c r="AF78" s="432"/>
      <c r="AG78" s="129"/>
      <c r="AH78" s="129"/>
      <c r="AI78" s="129"/>
      <c r="AJ78" s="129"/>
      <c r="AK78" s="180"/>
      <c r="AL78" s="129"/>
      <c r="AM78" s="129"/>
      <c r="AN78" s="129"/>
      <c r="AO78" s="129"/>
      <c r="AP78" s="129"/>
      <c r="AQ78" s="129"/>
      <c r="AR78" s="129"/>
      <c r="AS78" s="129"/>
      <c r="AT78" s="129"/>
      <c r="AU78" s="129"/>
      <c r="AV78" s="129"/>
      <c r="AW78" s="129"/>
    </row>
    <row r="79" spans="1:49" ht="15.75" customHeight="1">
      <c r="A79" s="129"/>
      <c r="B79" s="129"/>
      <c r="C79" s="220"/>
      <c r="D79" s="70"/>
      <c r="E79" s="140"/>
      <c r="F79" s="282" t="str">
        <f t="shared" si="7"/>
        <v/>
      </c>
      <c r="G79" s="283" t="str">
        <f t="shared" si="8"/>
        <v/>
      </c>
      <c r="H79" s="71"/>
      <c r="I79" s="72"/>
      <c r="J79" s="589"/>
      <c r="K79" s="72"/>
      <c r="L79" s="589"/>
      <c r="M79" s="284">
        <f t="shared" si="9"/>
        <v>0</v>
      </c>
      <c r="N79" s="286">
        <f t="shared" ref="N79:N83" si="22">IFERROR(G79*M79,0)</f>
        <v>0</v>
      </c>
      <c r="O79" s="443">
        <f t="shared" si="21"/>
        <v>0</v>
      </c>
      <c r="P79" s="430" t="str">
        <f t="shared" ref="P79:P83" si="23">IF(F79="Custom",IF(G79=0,"U-value missing in Custom Input","Refer to WSEC R402.1.5 U-factor Reference and Calculations"),"")</f>
        <v/>
      </c>
      <c r="Q79" s="129"/>
      <c r="R79" s="333"/>
      <c r="S79" s="70"/>
      <c r="T79" s="140"/>
      <c r="U79" s="282"/>
      <c r="V79" s="283"/>
      <c r="W79" s="71"/>
      <c r="X79" s="72"/>
      <c r="Y79" s="589"/>
      <c r="Z79" s="72"/>
      <c r="AA79" s="589"/>
      <c r="AB79" s="284"/>
      <c r="AC79" s="286"/>
      <c r="AD79" s="443"/>
      <c r="AE79" s="427"/>
      <c r="AF79" s="432"/>
      <c r="AG79" s="129"/>
      <c r="AH79" s="129"/>
      <c r="AI79" s="129"/>
      <c r="AJ79" s="129"/>
      <c r="AK79" s="180"/>
      <c r="AL79" s="129"/>
      <c r="AM79" s="129"/>
      <c r="AN79" s="129"/>
      <c r="AO79" s="129"/>
      <c r="AP79" s="129"/>
      <c r="AQ79" s="129"/>
      <c r="AR79" s="129"/>
      <c r="AS79" s="129"/>
      <c r="AT79" s="129"/>
      <c r="AU79" s="129"/>
      <c r="AV79" s="129"/>
      <c r="AW79" s="129"/>
    </row>
    <row r="80" spans="1:49" ht="15.75" customHeight="1">
      <c r="A80" s="129"/>
      <c r="B80" s="129"/>
      <c r="C80" s="220"/>
      <c r="D80" s="70"/>
      <c r="E80" s="140"/>
      <c r="F80" s="282" t="str">
        <f t="shared" si="7"/>
        <v/>
      </c>
      <c r="G80" s="283" t="str">
        <f t="shared" si="8"/>
        <v/>
      </c>
      <c r="H80" s="71"/>
      <c r="I80" s="72"/>
      <c r="J80" s="589"/>
      <c r="K80" s="72"/>
      <c r="L80" s="589"/>
      <c r="M80" s="284">
        <f t="shared" si="9"/>
        <v>0</v>
      </c>
      <c r="N80" s="286">
        <f t="shared" si="22"/>
        <v>0</v>
      </c>
      <c r="O80" s="443">
        <f t="shared" si="21"/>
        <v>0</v>
      </c>
      <c r="P80" s="430" t="str">
        <f t="shared" si="23"/>
        <v/>
      </c>
      <c r="Q80" s="129"/>
      <c r="R80" s="333"/>
      <c r="S80" s="70"/>
      <c r="T80" s="140"/>
      <c r="U80" s="282"/>
      <c r="V80" s="283"/>
      <c r="W80" s="71"/>
      <c r="X80" s="72"/>
      <c r="Y80" s="589"/>
      <c r="Z80" s="72"/>
      <c r="AA80" s="589"/>
      <c r="AB80" s="284"/>
      <c r="AC80" s="286"/>
      <c r="AD80" s="443"/>
      <c r="AE80" s="427"/>
      <c r="AF80" s="432"/>
      <c r="AG80" s="129"/>
      <c r="AH80" s="129"/>
      <c r="AI80" s="129"/>
      <c r="AJ80" s="129"/>
      <c r="AK80" s="180"/>
      <c r="AL80" s="129"/>
      <c r="AM80" s="129"/>
      <c r="AN80" s="129"/>
      <c r="AO80" s="129"/>
      <c r="AP80" s="129"/>
      <c r="AQ80" s="129"/>
      <c r="AR80" s="129"/>
      <c r="AS80" s="129"/>
      <c r="AT80" s="129"/>
      <c r="AU80" s="129"/>
      <c r="AV80" s="129"/>
      <c r="AW80" s="129"/>
    </row>
    <row r="81" spans="1:49" ht="15.75" customHeight="1">
      <c r="A81" s="129"/>
      <c r="B81" s="129"/>
      <c r="C81" s="220"/>
      <c r="D81" s="70"/>
      <c r="E81" s="140"/>
      <c r="F81" s="282" t="str">
        <f t="shared" si="7"/>
        <v/>
      </c>
      <c r="G81" s="283" t="str">
        <f t="shared" si="8"/>
        <v/>
      </c>
      <c r="H81" s="71"/>
      <c r="I81" s="72"/>
      <c r="J81" s="589"/>
      <c r="K81" s="72"/>
      <c r="L81" s="589"/>
      <c r="M81" s="284">
        <f t="shared" si="9"/>
        <v>0</v>
      </c>
      <c r="N81" s="286">
        <f t="shared" si="22"/>
        <v>0</v>
      </c>
      <c r="O81" s="443">
        <f t="shared" si="21"/>
        <v>0</v>
      </c>
      <c r="P81" s="430" t="str">
        <f t="shared" si="23"/>
        <v/>
      </c>
      <c r="Q81" s="129"/>
      <c r="R81" s="333" t="s">
        <v>1350</v>
      </c>
      <c r="S81" s="70"/>
      <c r="T81" s="140"/>
      <c r="U81" s="282" t="str">
        <f t="shared" si="11"/>
        <v/>
      </c>
      <c r="V81" s="283" t="str">
        <f t="shared" si="12"/>
        <v/>
      </c>
      <c r="W81" s="71"/>
      <c r="X81" s="72"/>
      <c r="Y81" s="589"/>
      <c r="Z81" s="72"/>
      <c r="AA81" s="589"/>
      <c r="AB81" s="284">
        <f t="shared" si="13"/>
        <v>0</v>
      </c>
      <c r="AC81" s="286">
        <f t="shared" si="16"/>
        <v>0</v>
      </c>
      <c r="AD81" s="443">
        <f t="shared" si="17"/>
        <v>0</v>
      </c>
      <c r="AE81" s="427" t="str">
        <f t="shared" si="18"/>
        <v/>
      </c>
      <c r="AF81" s="432"/>
      <c r="AG81" s="129"/>
      <c r="AH81" s="129"/>
      <c r="AI81" s="129"/>
      <c r="AJ81" s="129"/>
      <c r="AK81" s="129"/>
      <c r="AL81" s="129"/>
      <c r="AM81" s="129"/>
      <c r="AN81" s="129"/>
      <c r="AO81" s="129"/>
      <c r="AP81" s="129"/>
      <c r="AQ81" s="129"/>
      <c r="AR81" s="129"/>
      <c r="AS81" s="129"/>
      <c r="AT81" s="129"/>
      <c r="AU81" s="129"/>
      <c r="AV81" s="129"/>
      <c r="AW81" s="129"/>
    </row>
    <row r="82" spans="1:49" ht="15.75" customHeight="1">
      <c r="A82" s="129"/>
      <c r="B82" s="129"/>
      <c r="C82" s="220"/>
      <c r="D82" s="70"/>
      <c r="E82" s="140"/>
      <c r="F82" s="282" t="str">
        <f t="shared" si="7"/>
        <v/>
      </c>
      <c r="G82" s="283" t="str">
        <f t="shared" si="8"/>
        <v/>
      </c>
      <c r="H82" s="71"/>
      <c r="I82" s="72"/>
      <c r="J82" s="589"/>
      <c r="K82" s="72"/>
      <c r="L82" s="589"/>
      <c r="M82" s="284">
        <f t="shared" si="9"/>
        <v>0</v>
      </c>
      <c r="N82" s="286">
        <f t="shared" si="22"/>
        <v>0</v>
      </c>
      <c r="O82" s="443">
        <f t="shared" si="21"/>
        <v>0</v>
      </c>
      <c r="P82" s="430" t="str">
        <f t="shared" si="23"/>
        <v/>
      </c>
      <c r="Q82" s="129"/>
      <c r="R82" s="333" t="s">
        <v>1350</v>
      </c>
      <c r="S82" s="70"/>
      <c r="T82" s="140"/>
      <c r="U82" s="282" t="str">
        <f t="shared" si="11"/>
        <v/>
      </c>
      <c r="V82" s="283" t="str">
        <f t="shared" si="12"/>
        <v/>
      </c>
      <c r="W82" s="71"/>
      <c r="X82" s="72"/>
      <c r="Y82" s="589"/>
      <c r="Z82" s="72"/>
      <c r="AA82" s="589"/>
      <c r="AB82" s="284">
        <f t="shared" si="13"/>
        <v>0</v>
      </c>
      <c r="AC82" s="286">
        <f t="shared" si="16"/>
        <v>0</v>
      </c>
      <c r="AD82" s="443">
        <f t="shared" si="17"/>
        <v>0</v>
      </c>
      <c r="AE82" s="427" t="str">
        <f t="shared" si="18"/>
        <v/>
      </c>
      <c r="AF82" s="432"/>
      <c r="AG82" s="129"/>
      <c r="AH82" s="129"/>
      <c r="AI82" s="129"/>
      <c r="AJ82" s="129"/>
      <c r="AK82" s="129"/>
      <c r="AL82" s="129"/>
      <c r="AM82" s="129"/>
      <c r="AN82" s="129"/>
      <c r="AO82" s="129"/>
      <c r="AP82" s="129"/>
      <c r="AQ82" s="129"/>
      <c r="AR82" s="129"/>
      <c r="AS82" s="129"/>
      <c r="AT82" s="129"/>
      <c r="AU82" s="129"/>
      <c r="AV82" s="129"/>
      <c r="AW82" s="129"/>
    </row>
    <row r="83" spans="1:49" ht="15.75" customHeight="1">
      <c r="A83" s="129"/>
      <c r="B83" s="129"/>
      <c r="C83" s="220"/>
      <c r="D83" s="70"/>
      <c r="E83" s="140"/>
      <c r="F83" s="282" t="str">
        <f t="shared" si="7"/>
        <v/>
      </c>
      <c r="G83" s="283" t="str">
        <f t="shared" si="8"/>
        <v/>
      </c>
      <c r="H83" s="71"/>
      <c r="I83" s="72"/>
      <c r="J83" s="589"/>
      <c r="K83" s="72"/>
      <c r="L83" s="589"/>
      <c r="M83" s="284">
        <f t="shared" si="9"/>
        <v>0</v>
      </c>
      <c r="N83" s="286">
        <f t="shared" si="22"/>
        <v>0</v>
      </c>
      <c r="O83" s="443">
        <f t="shared" si="21"/>
        <v>0</v>
      </c>
      <c r="P83" s="430" t="str">
        <f t="shared" si="23"/>
        <v/>
      </c>
      <c r="Q83" s="129"/>
      <c r="R83" s="333" t="s">
        <v>1350</v>
      </c>
      <c r="S83" s="70"/>
      <c r="T83" s="140"/>
      <c r="U83" s="282" t="str">
        <f t="shared" si="11"/>
        <v/>
      </c>
      <c r="V83" s="283" t="str">
        <f t="shared" si="12"/>
        <v/>
      </c>
      <c r="W83" s="71"/>
      <c r="X83" s="72"/>
      <c r="Y83" s="589"/>
      <c r="Z83" s="72"/>
      <c r="AA83" s="589"/>
      <c r="AB83" s="284">
        <f t="shared" si="13"/>
        <v>0</v>
      </c>
      <c r="AC83" s="286">
        <f t="shared" si="16"/>
        <v>0</v>
      </c>
      <c r="AD83" s="443">
        <f t="shared" si="17"/>
        <v>0</v>
      </c>
      <c r="AE83" s="427" t="str">
        <f t="shared" si="18"/>
        <v/>
      </c>
      <c r="AF83" s="432"/>
      <c r="AG83" s="129"/>
      <c r="AH83" s="129"/>
      <c r="AI83" s="129"/>
      <c r="AJ83" s="129"/>
      <c r="AK83" s="131" t="s">
        <v>2239</v>
      </c>
      <c r="AL83" s="129"/>
      <c r="AM83" s="129"/>
      <c r="AN83" s="129"/>
      <c r="AO83" s="129"/>
      <c r="AP83" s="129"/>
      <c r="AQ83" s="129"/>
      <c r="AR83" s="129"/>
      <c r="AS83" s="129"/>
      <c r="AT83" s="129"/>
      <c r="AU83" s="129"/>
      <c r="AV83" s="129"/>
      <c r="AW83" s="129"/>
    </row>
    <row r="84" spans="1:49" ht="15.75" customHeight="1">
      <c r="A84" s="129"/>
      <c r="B84" s="129"/>
      <c r="C84" s="220"/>
      <c r="D84" s="225"/>
      <c r="E84" s="225"/>
      <c r="F84" s="408"/>
      <c r="G84" s="408"/>
      <c r="H84" s="408"/>
      <c r="I84" s="408"/>
      <c r="J84" s="408"/>
      <c r="K84" s="408"/>
      <c r="L84" s="249" t="str">
        <f>IF(AND(M73&gt;0,Switch_ShowExempt="Show"),"Sum of Area and UA (excluding exempt door)","Sum of Area and UA")</f>
        <v>Sum of Area and UA</v>
      </c>
      <c r="M84" s="287">
        <f>IF(O84&gt;0,"",SUM(M74:M83))</f>
        <v>91.1111111111111</v>
      </c>
      <c r="N84" s="288">
        <f>IF(O84&gt;0,"Erorr",SUM(N74:N83))</f>
        <v>27.333333333333329</v>
      </c>
      <c r="O84" s="265">
        <f>SUBTOTAL(109,O73:O83)</f>
        <v>0</v>
      </c>
      <c r="P84" s="431">
        <f>ROW(P83)-ROW(P73)+1-COUNTBLANK(P73:P83)</f>
        <v>0</v>
      </c>
      <c r="Q84" s="129"/>
      <c r="R84" s="220"/>
      <c r="S84" s="225"/>
      <c r="T84" s="225"/>
      <c r="U84" s="225"/>
      <c r="V84" s="225"/>
      <c r="W84" s="1199" t="s">
        <v>1363</v>
      </c>
      <c r="X84" s="1199"/>
      <c r="Y84" s="1199"/>
      <c r="Z84" s="1199"/>
      <c r="AA84" s="1200"/>
      <c r="AB84" s="287">
        <f>IF(AD84&gt;0,"",SUM(AB74:AB83))</f>
        <v>20</v>
      </c>
      <c r="AC84" s="288">
        <f>IF(AD84&gt;0,"Erorr",SUM(AC74:AC83))</f>
        <v>6</v>
      </c>
      <c r="AD84" s="265">
        <f>SUM(AD74:AD83)</f>
        <v>0</v>
      </c>
      <c r="AE84" s="434">
        <f>ROW(AE83)-ROW(AE74)+1-COUNTBLANK(AE74:AE83)</f>
        <v>0</v>
      </c>
      <c r="AF84" s="432"/>
      <c r="AG84" s="129"/>
      <c r="AH84" s="129"/>
      <c r="AI84" s="129"/>
      <c r="AJ84" s="129"/>
      <c r="AK84" s="202" t="s">
        <v>2287</v>
      </c>
      <c r="AL84" s="129"/>
      <c r="AM84" s="129"/>
      <c r="AN84" s="129"/>
      <c r="AO84" s="129"/>
      <c r="AP84" s="129"/>
      <c r="AQ84" s="129"/>
      <c r="AR84" s="129"/>
      <c r="AS84" s="129"/>
      <c r="AT84" s="129"/>
      <c r="AU84" s="129"/>
      <c r="AV84" s="129"/>
      <c r="AW84" s="129"/>
    </row>
    <row r="85" spans="1:49" ht="15.75" customHeight="1">
      <c r="A85" s="129"/>
      <c r="B85" s="129"/>
      <c r="C85" s="220"/>
      <c r="D85" s="225"/>
      <c r="E85" s="225"/>
      <c r="F85" s="502"/>
      <c r="G85" s="502"/>
      <c r="H85" s="502"/>
      <c r="I85" s="502"/>
      <c r="J85" s="502"/>
      <c r="K85" s="502"/>
      <c r="L85" s="249" t="s">
        <v>2450</v>
      </c>
      <c r="M85" s="249"/>
      <c r="N85" s="296">
        <f>IFERROR(N84/M84,"")</f>
        <v>0.3</v>
      </c>
      <c r="O85" s="265"/>
      <c r="P85" s="431"/>
      <c r="Q85" s="129"/>
      <c r="R85" s="220"/>
      <c r="S85" s="225"/>
      <c r="T85" s="225"/>
      <c r="U85" s="225"/>
      <c r="V85" s="225"/>
      <c r="W85" s="502"/>
      <c r="X85" s="502"/>
      <c r="Y85" s="502"/>
      <c r="Z85" s="502"/>
      <c r="AA85" s="249" t="str">
        <f>L85</f>
        <v>Exterior Doors Area Weighted U</v>
      </c>
      <c r="AB85" s="249"/>
      <c r="AC85" s="296">
        <f>IFERROR(AC84/AB84,"")</f>
        <v>0.3</v>
      </c>
      <c r="AD85" s="326"/>
      <c r="AE85" s="434"/>
      <c r="AF85" s="432"/>
      <c r="AG85" s="129"/>
      <c r="AH85" s="129"/>
      <c r="AI85" s="129"/>
      <c r="AJ85" s="129"/>
      <c r="AK85" s="202"/>
      <c r="AL85" s="129"/>
      <c r="AM85" s="129"/>
      <c r="AN85" s="129"/>
      <c r="AO85" s="129"/>
      <c r="AP85" s="129"/>
      <c r="AQ85" s="129"/>
      <c r="AR85" s="129"/>
      <c r="AS85" s="129"/>
      <c r="AT85" s="129"/>
      <c r="AU85" s="129"/>
      <c r="AV85" s="129"/>
      <c r="AW85" s="129"/>
    </row>
    <row r="86" spans="1:49" ht="15.75" customHeight="1">
      <c r="A86" s="129"/>
      <c r="B86" s="129"/>
      <c r="C86" s="266"/>
      <c r="D86" s="137"/>
      <c r="E86" s="137"/>
      <c r="F86" s="137"/>
      <c r="G86" s="137"/>
      <c r="H86" s="139"/>
      <c r="I86" s="139"/>
      <c r="J86" s="139"/>
      <c r="K86" s="139"/>
      <c r="L86" s="139"/>
      <c r="M86" s="139"/>
      <c r="N86" s="139"/>
      <c r="O86" s="274"/>
      <c r="P86" s="429"/>
      <c r="Q86" s="129"/>
      <c r="R86" s="266"/>
      <c r="S86" s="137"/>
      <c r="T86" s="137"/>
      <c r="U86" s="137"/>
      <c r="V86" s="137"/>
      <c r="W86" s="139"/>
      <c r="X86" s="139"/>
      <c r="Y86" s="139"/>
      <c r="Z86" s="139"/>
      <c r="AA86" s="139"/>
      <c r="AB86" s="139"/>
      <c r="AC86" s="139"/>
      <c r="AD86" s="274"/>
      <c r="AE86" s="432"/>
      <c r="AF86" s="432"/>
      <c r="AG86" s="129"/>
      <c r="AH86" s="129"/>
      <c r="AI86" s="129"/>
      <c r="AJ86" s="129"/>
      <c r="AK86" s="131" t="s">
        <v>2240</v>
      </c>
      <c r="AL86" s="129"/>
      <c r="AM86" s="129"/>
      <c r="AN86" s="129"/>
      <c r="AO86" s="129"/>
      <c r="AP86" s="129"/>
      <c r="AQ86" s="129"/>
      <c r="AR86" s="129"/>
      <c r="AS86" s="129"/>
      <c r="AT86" s="129"/>
      <c r="AU86" s="129"/>
      <c r="AV86" s="129"/>
      <c r="AW86" s="129"/>
    </row>
    <row r="87" spans="1:49" ht="15.75" customHeight="1">
      <c r="A87" s="129"/>
      <c r="B87" s="129"/>
      <c r="C87" s="129"/>
      <c r="D87" s="129"/>
      <c r="E87" s="129"/>
      <c r="F87" s="129"/>
      <c r="G87" s="129"/>
      <c r="H87" s="205"/>
      <c r="I87" s="205"/>
      <c r="J87" s="205"/>
      <c r="K87" s="205"/>
      <c r="L87" s="205"/>
      <c r="M87" s="205"/>
      <c r="N87" s="205"/>
      <c r="O87" s="132"/>
      <c r="P87" s="432"/>
      <c r="Q87" s="129"/>
      <c r="R87" s="129"/>
      <c r="S87" s="129"/>
      <c r="T87" s="129"/>
      <c r="U87" s="129"/>
      <c r="V87" s="129"/>
      <c r="W87" s="205"/>
      <c r="X87" s="205"/>
      <c r="Y87" s="205"/>
      <c r="Z87" s="205"/>
      <c r="AA87" s="205"/>
      <c r="AB87" s="205"/>
      <c r="AC87" s="205"/>
      <c r="AD87" s="132"/>
      <c r="AE87" s="432"/>
      <c r="AF87" s="432"/>
      <c r="AG87" s="129"/>
      <c r="AH87" s="129"/>
      <c r="AI87" s="129"/>
      <c r="AJ87" s="129"/>
      <c r="AK87" s="129"/>
      <c r="AL87" s="129"/>
      <c r="AM87" s="129"/>
      <c r="AN87" s="129"/>
      <c r="AO87" s="129"/>
      <c r="AP87" s="129"/>
      <c r="AQ87" s="129"/>
      <c r="AR87" s="129"/>
      <c r="AS87" s="129"/>
      <c r="AT87" s="129"/>
      <c r="AU87" s="129"/>
      <c r="AV87" s="129"/>
      <c r="AW87" s="129"/>
    </row>
    <row r="88" spans="1:49" ht="20.100000000000001" customHeight="1">
      <c r="A88" s="129"/>
      <c r="B88" s="129"/>
      <c r="C88" s="253"/>
      <c r="D88" s="267" t="s">
        <v>2194</v>
      </c>
      <c r="E88" s="262"/>
      <c r="F88" s="262"/>
      <c r="G88" s="263"/>
      <c r="H88" s="263"/>
      <c r="I88" s="263"/>
      <c r="J88" s="263"/>
      <c r="K88" s="263"/>
      <c r="L88" s="263"/>
      <c r="M88" s="263"/>
      <c r="N88" s="263"/>
      <c r="O88" s="255"/>
      <c r="P88" s="433"/>
      <c r="Q88" s="129"/>
      <c r="R88" s="253"/>
      <c r="S88" s="267" t="s">
        <v>2250</v>
      </c>
      <c r="T88" s="262"/>
      <c r="U88" s="262"/>
      <c r="V88" s="263"/>
      <c r="W88" s="263"/>
      <c r="X88" s="263"/>
      <c r="Y88" s="263"/>
      <c r="Z88" s="263"/>
      <c r="AA88" s="263"/>
      <c r="AB88" s="263"/>
      <c r="AC88" s="263"/>
      <c r="AD88" s="255"/>
      <c r="AE88" s="432"/>
      <c r="AF88" s="432"/>
      <c r="AG88" s="129"/>
      <c r="AH88" s="129"/>
      <c r="AI88" s="129"/>
      <c r="AJ88" s="129"/>
      <c r="AK88" s="129"/>
      <c r="AL88" s="129"/>
      <c r="AM88" s="129"/>
      <c r="AN88" s="129"/>
      <c r="AO88" s="129"/>
      <c r="AP88" s="129"/>
      <c r="AQ88" s="129"/>
      <c r="AR88" s="129"/>
      <c r="AS88" s="129"/>
      <c r="AT88" s="129"/>
      <c r="AU88" s="129"/>
      <c r="AV88" s="129"/>
      <c r="AW88" s="129"/>
    </row>
    <row r="89" spans="1:49" ht="15.75" customHeight="1">
      <c r="A89" s="129"/>
      <c r="B89" s="129"/>
      <c r="C89" s="268"/>
      <c r="D89" s="289" t="s">
        <v>1337</v>
      </c>
      <c r="E89" s="290" t="s">
        <v>1339</v>
      </c>
      <c r="F89" s="1157" t="s">
        <v>1354</v>
      </c>
      <c r="G89" s="291" t="s">
        <v>1351</v>
      </c>
      <c r="H89" s="1155" t="s">
        <v>1349</v>
      </c>
      <c r="I89" s="1134" t="s">
        <v>1362</v>
      </c>
      <c r="J89" s="1134"/>
      <c r="K89" s="1134" t="s">
        <v>1346</v>
      </c>
      <c r="L89" s="1134"/>
      <c r="M89" s="1165" t="s">
        <v>1343</v>
      </c>
      <c r="N89" s="1165" t="s">
        <v>1344</v>
      </c>
      <c r="O89" s="219"/>
      <c r="P89" s="433"/>
      <c r="Q89" s="129"/>
      <c r="R89" s="216"/>
      <c r="S89" s="289" t="s">
        <v>1337</v>
      </c>
      <c r="T89" s="290" t="s">
        <v>1339</v>
      </c>
      <c r="U89" s="1157" t="s">
        <v>1354</v>
      </c>
      <c r="V89" s="291" t="s">
        <v>1351</v>
      </c>
      <c r="W89" s="1155" t="s">
        <v>1349</v>
      </c>
      <c r="X89" s="1134" t="s">
        <v>1362</v>
      </c>
      <c r="Y89" s="1134"/>
      <c r="Z89" s="1134" t="s">
        <v>1346</v>
      </c>
      <c r="AA89" s="1134"/>
      <c r="AB89" s="1165" t="s">
        <v>1343</v>
      </c>
      <c r="AC89" s="1165" t="s">
        <v>1344</v>
      </c>
      <c r="AD89" s="219"/>
      <c r="AE89" s="432"/>
      <c r="AF89" s="432"/>
      <c r="AG89" s="129"/>
      <c r="AH89" s="129"/>
      <c r="AI89" s="129"/>
      <c r="AJ89" s="129"/>
      <c r="AK89" s="129"/>
      <c r="AL89" s="129"/>
      <c r="AM89" s="129"/>
      <c r="AN89" s="129"/>
      <c r="AO89" s="129"/>
      <c r="AP89" s="129"/>
      <c r="AQ89" s="129"/>
      <c r="AR89" s="129"/>
      <c r="AS89" s="129"/>
      <c r="AT89" s="129"/>
      <c r="AU89" s="129"/>
      <c r="AV89" s="129"/>
      <c r="AW89" s="129"/>
    </row>
    <row r="90" spans="1:49" ht="15.75" customHeight="1">
      <c r="A90" s="129"/>
      <c r="B90" s="129"/>
      <c r="C90" s="269"/>
      <c r="D90" s="292" t="s">
        <v>1338</v>
      </c>
      <c r="E90" s="293" t="s">
        <v>1340</v>
      </c>
      <c r="F90" s="1158"/>
      <c r="G90" s="293" t="s">
        <v>1342</v>
      </c>
      <c r="H90" s="1156"/>
      <c r="I90" s="279" t="s">
        <v>1347</v>
      </c>
      <c r="J90" s="281" t="s">
        <v>1348</v>
      </c>
      <c r="K90" s="279" t="s">
        <v>1347</v>
      </c>
      <c r="L90" s="281" t="s">
        <v>1348</v>
      </c>
      <c r="M90" s="1166"/>
      <c r="N90" s="1166"/>
      <c r="O90" s="223"/>
      <c r="P90" s="433"/>
      <c r="Q90" s="129"/>
      <c r="R90" s="220"/>
      <c r="S90" s="292" t="s">
        <v>1338</v>
      </c>
      <c r="T90" s="293" t="s">
        <v>1340</v>
      </c>
      <c r="U90" s="1158"/>
      <c r="V90" s="293" t="s">
        <v>1342</v>
      </c>
      <c r="W90" s="1156"/>
      <c r="X90" s="279" t="s">
        <v>1347</v>
      </c>
      <c r="Y90" s="281" t="s">
        <v>1348</v>
      </c>
      <c r="Z90" s="279" t="s">
        <v>1347</v>
      </c>
      <c r="AA90" s="281" t="s">
        <v>1348</v>
      </c>
      <c r="AB90" s="1166"/>
      <c r="AC90" s="1166"/>
      <c r="AD90" s="223"/>
      <c r="AE90" s="432"/>
      <c r="AF90" s="432"/>
      <c r="AG90" s="129"/>
      <c r="AH90" s="129"/>
      <c r="AI90" s="129"/>
      <c r="AJ90" s="129"/>
      <c r="AK90" s="129"/>
      <c r="AL90" s="129"/>
      <c r="AM90" s="129"/>
      <c r="AN90" s="129"/>
      <c r="AO90" s="129"/>
      <c r="AP90" s="129"/>
      <c r="AQ90" s="129"/>
      <c r="AR90" s="129"/>
      <c r="AS90" s="129"/>
      <c r="AT90" s="129"/>
      <c r="AU90" s="129"/>
      <c r="AV90" s="129"/>
      <c r="AW90" s="129"/>
    </row>
    <row r="91" spans="1:49" ht="15.75" customHeight="1">
      <c r="A91" s="129"/>
      <c r="B91" s="129"/>
      <c r="C91" s="269"/>
      <c r="D91" s="127"/>
      <c r="E91" s="141"/>
      <c r="F91" s="282" t="str">
        <f>IFERROR(VLOOKUP($E91,Table_OverheadGlazing,2,FALSE),"")</f>
        <v/>
      </c>
      <c r="G91" s="294" t="str">
        <f>IFERROR(VLOOKUP($E91,Table_OverheadGlazing,3,FALSE),"")</f>
        <v/>
      </c>
      <c r="H91" s="71"/>
      <c r="I91" s="72"/>
      <c r="J91" s="589"/>
      <c r="K91" s="72"/>
      <c r="L91" s="589"/>
      <c r="M91" s="406">
        <f t="shared" ref="M91:M95" si="24">IFERROR(H91*(I91+(J91/12))*(K91+(L91/12)),"")</f>
        <v>0</v>
      </c>
      <c r="N91" s="284" t="str">
        <f>IFERROR(G91*M91,"")</f>
        <v/>
      </c>
      <c r="O91" s="443">
        <f t="shared" ref="O91:O95" si="25">IF(AND(TRIM(E91)="",OR(M91=0,M91="")),0,IF(AND(E91="",M91&gt;0),1,IF(AND(E91&lt;&gt;"",N91=0),1,IF(AND(F91="Custom",G91=0),1,IF(AND(G91="",SUM(H91:L91)=0),0,IF(AND(G91&lt;&gt;"",M91&gt;0),0,1))))))</f>
        <v>0</v>
      </c>
      <c r="P91" s="427" t="str">
        <f t="shared" ref="P91:P95" si="26">IF(F91="Custom",IF(G91=0,"U-value missing in Custom Input","Refer to WSEC R402.1.5 U-factor Reference and Calculations"),"")</f>
        <v/>
      </c>
      <c r="Q91" s="129"/>
      <c r="R91" s="333" t="s">
        <v>1350</v>
      </c>
      <c r="S91" s="127"/>
      <c r="T91" s="141"/>
      <c r="U91" s="282" t="str">
        <f>IFERROR(VLOOKUP($T91,Table_OverheadGlazing,2,FALSE),"")</f>
        <v/>
      </c>
      <c r="V91" s="294" t="str">
        <f>IFERROR(VLOOKUP($T91,Table_OverheadGlazing,3,FALSE),"")</f>
        <v/>
      </c>
      <c r="W91" s="71"/>
      <c r="X91" s="72"/>
      <c r="Y91" s="589"/>
      <c r="Z91" s="72"/>
      <c r="AA91" s="589"/>
      <c r="AB91" s="284">
        <f>W91*(X91+(Y91/12))*(Z91+(AA91/12))</f>
        <v>0</v>
      </c>
      <c r="AC91" s="284" t="str">
        <f>IFERROR(V91*AB91,"")</f>
        <v/>
      </c>
      <c r="AD91" s="443">
        <f t="shared" ref="AD91:AD95" si="27">IF(AND(T91&lt;&gt;"",V91=""),1,IF(AND(T91="",AB91=0),0,IF(AND(T91="",AB91&gt;0),1,IF(AND(T91&lt;&gt;"",AC91=0),1,IF(AND(U91="Custom",V91=0),1,IF(AND(V91="",SUM(W91:AA91)=0),0,IF(AND(V91&lt;&gt;"",AB91&gt;0),0,1)))))))</f>
        <v>0</v>
      </c>
      <c r="AE91" s="427" t="str">
        <f>IF(U91="Custom","Refer to WSEC R402.1.5 U-factor Reference and Calculations","")</f>
        <v/>
      </c>
      <c r="AF91" s="432"/>
      <c r="AG91" s="129"/>
      <c r="AH91" s="129"/>
      <c r="AI91" s="129"/>
      <c r="AJ91" s="129"/>
      <c r="AK91" s="129"/>
      <c r="AL91" s="129"/>
      <c r="AM91" s="129"/>
      <c r="AN91" s="129"/>
      <c r="AO91" s="129"/>
      <c r="AP91" s="129"/>
      <c r="AQ91" s="129"/>
      <c r="AR91" s="129"/>
      <c r="AS91" s="129"/>
      <c r="AT91" s="129"/>
      <c r="AU91" s="129"/>
      <c r="AV91" s="129"/>
      <c r="AW91" s="129"/>
    </row>
    <row r="92" spans="1:49" ht="15.75" customHeight="1">
      <c r="A92" s="129"/>
      <c r="B92" s="129"/>
      <c r="C92" s="269"/>
      <c r="D92" s="70"/>
      <c r="E92" s="140"/>
      <c r="F92" s="282" t="str">
        <f>IFERROR(VLOOKUP($E92,Table_OverheadGlazing,2,FALSE),"")</f>
        <v/>
      </c>
      <c r="G92" s="283" t="str">
        <f>IFERROR(VLOOKUP($E92,Table_OverheadGlazing,3,FALSE),"")</f>
        <v/>
      </c>
      <c r="H92" s="71"/>
      <c r="I92" s="72"/>
      <c r="J92" s="589"/>
      <c r="K92" s="72"/>
      <c r="L92" s="589"/>
      <c r="M92" s="406">
        <f t="shared" si="24"/>
        <v>0</v>
      </c>
      <c r="N92" s="284" t="str">
        <f>IFERROR(G92*M92,"")</f>
        <v/>
      </c>
      <c r="O92" s="443">
        <f t="shared" si="25"/>
        <v>0</v>
      </c>
      <c r="P92" s="427" t="str">
        <f t="shared" si="26"/>
        <v/>
      </c>
      <c r="Q92" s="129"/>
      <c r="R92" s="333" t="s">
        <v>1350</v>
      </c>
      <c r="S92" s="70"/>
      <c r="T92" s="140"/>
      <c r="U92" s="282" t="str">
        <f>IFERROR(VLOOKUP($T92,Table_OverheadGlazing,2,FALSE),"")</f>
        <v/>
      </c>
      <c r="V92" s="294" t="str">
        <f>IFERROR(VLOOKUP($T92,Table_OverheadGlazing,3,FALSE),"")</f>
        <v/>
      </c>
      <c r="W92" s="71"/>
      <c r="X92" s="72"/>
      <c r="Y92" s="589"/>
      <c r="Z92" s="72"/>
      <c r="AA92" s="589"/>
      <c r="AB92" s="284">
        <f>W92*(X92+(Y92/12))*(Z92+(AA92/12))</f>
        <v>0</v>
      </c>
      <c r="AC92" s="284" t="str">
        <f>IFERROR(V92*AB92,"")</f>
        <v/>
      </c>
      <c r="AD92" s="443">
        <f t="shared" si="27"/>
        <v>0</v>
      </c>
      <c r="AE92" s="427" t="str">
        <f>IF(U92="Custom","Refer to WSEC R402.1.5 U-factor Reference and Calculations","")</f>
        <v/>
      </c>
      <c r="AF92" s="432"/>
      <c r="AG92" s="129"/>
      <c r="AH92" s="129"/>
      <c r="AI92" s="129"/>
      <c r="AJ92" s="129"/>
      <c r="AK92" s="129"/>
      <c r="AL92" s="129"/>
      <c r="AM92" s="129"/>
      <c r="AN92" s="129"/>
      <c r="AO92" s="129"/>
      <c r="AP92" s="129"/>
      <c r="AQ92" s="129"/>
      <c r="AR92" s="129"/>
      <c r="AS92" s="129"/>
      <c r="AT92" s="129"/>
      <c r="AU92" s="129"/>
      <c r="AV92" s="129"/>
      <c r="AW92" s="129"/>
    </row>
    <row r="93" spans="1:49" ht="15.75" customHeight="1">
      <c r="A93" s="129"/>
      <c r="B93" s="129"/>
      <c r="C93" s="269"/>
      <c r="D93" s="70"/>
      <c r="E93" s="140"/>
      <c r="F93" s="282" t="str">
        <f>IFERROR(VLOOKUP($E93,Table_OverheadGlazing,2,FALSE),"")</f>
        <v/>
      </c>
      <c r="G93" s="283" t="str">
        <f>IFERROR(VLOOKUP($E93,Table_OverheadGlazing,3,FALSE),"")</f>
        <v/>
      </c>
      <c r="H93" s="71"/>
      <c r="I93" s="72"/>
      <c r="J93" s="589"/>
      <c r="K93" s="72"/>
      <c r="L93" s="589"/>
      <c r="M93" s="406">
        <f t="shared" si="24"/>
        <v>0</v>
      </c>
      <c r="N93" s="284" t="str">
        <f>IFERROR(G93*M93,"")</f>
        <v/>
      </c>
      <c r="O93" s="443">
        <f t="shared" si="25"/>
        <v>0</v>
      </c>
      <c r="P93" s="427" t="str">
        <f t="shared" si="26"/>
        <v/>
      </c>
      <c r="Q93" s="129"/>
      <c r="R93" s="333" t="s">
        <v>1350</v>
      </c>
      <c r="S93" s="70"/>
      <c r="T93" s="140"/>
      <c r="U93" s="282" t="str">
        <f>IFERROR(VLOOKUP($T93,Table_OverheadGlazing,2,FALSE),"")</f>
        <v/>
      </c>
      <c r="V93" s="294" t="str">
        <f>IFERROR(VLOOKUP($T93,Table_OverheadGlazing,3,FALSE),"")</f>
        <v/>
      </c>
      <c r="W93" s="71"/>
      <c r="X93" s="72"/>
      <c r="Y93" s="589"/>
      <c r="Z93" s="72"/>
      <c r="AA93" s="589"/>
      <c r="AB93" s="284">
        <f>W93*(X93+(Y93/12))*(Z93+(AA93/12))</f>
        <v>0</v>
      </c>
      <c r="AC93" s="284" t="str">
        <f>IFERROR(V93*AB93,"")</f>
        <v/>
      </c>
      <c r="AD93" s="443">
        <f t="shared" si="27"/>
        <v>0</v>
      </c>
      <c r="AE93" s="427" t="str">
        <f>IF(U93="Custom","Refer to WSEC R402.1.5 U-factor Reference and Calculations","")</f>
        <v/>
      </c>
      <c r="AF93" s="432"/>
      <c r="AG93" s="129"/>
      <c r="AH93" s="129"/>
      <c r="AI93" s="129"/>
      <c r="AJ93" s="129"/>
      <c r="AK93" s="129"/>
      <c r="AL93" s="129"/>
      <c r="AM93" s="129"/>
      <c r="AN93" s="129"/>
      <c r="AO93" s="129"/>
      <c r="AP93" s="129"/>
      <c r="AQ93" s="129"/>
      <c r="AR93" s="129"/>
      <c r="AS93" s="129"/>
      <c r="AT93" s="129"/>
      <c r="AU93" s="129"/>
      <c r="AV93" s="129"/>
      <c r="AW93" s="129"/>
    </row>
    <row r="94" spans="1:49" ht="15.75" customHeight="1">
      <c r="A94" s="129"/>
      <c r="B94" s="129"/>
      <c r="C94" s="269"/>
      <c r="D94" s="70"/>
      <c r="E94" s="140"/>
      <c r="F94" s="282" t="str">
        <f>IFERROR(VLOOKUP($E94,Table_OverheadGlazing,2,FALSE),"")</f>
        <v/>
      </c>
      <c r="G94" s="283" t="str">
        <f>IFERROR(VLOOKUP($E94,Table_OverheadGlazing,3,FALSE),"")</f>
        <v/>
      </c>
      <c r="H94" s="71"/>
      <c r="I94" s="72"/>
      <c r="J94" s="589"/>
      <c r="K94" s="72"/>
      <c r="L94" s="589"/>
      <c r="M94" s="406">
        <f t="shared" si="24"/>
        <v>0</v>
      </c>
      <c r="N94" s="284" t="str">
        <f>IFERROR(G94*M94,"")</f>
        <v/>
      </c>
      <c r="O94" s="443">
        <f t="shared" si="25"/>
        <v>0</v>
      </c>
      <c r="P94" s="427" t="str">
        <f t="shared" si="26"/>
        <v/>
      </c>
      <c r="Q94" s="129"/>
      <c r="R94" s="333" t="s">
        <v>1350</v>
      </c>
      <c r="S94" s="70"/>
      <c r="T94" s="140"/>
      <c r="U94" s="282" t="str">
        <f>IFERROR(VLOOKUP($T94,Table_OverheadGlazing,2,FALSE),"")</f>
        <v/>
      </c>
      <c r="V94" s="294" t="str">
        <f>IFERROR(VLOOKUP($T94,Table_OverheadGlazing,3,FALSE),"")</f>
        <v/>
      </c>
      <c r="W94" s="71"/>
      <c r="X94" s="72"/>
      <c r="Y94" s="589"/>
      <c r="Z94" s="72"/>
      <c r="AA94" s="589"/>
      <c r="AB94" s="284">
        <f>W94*(X94+(Y94/12))*(Z94+(AA94/12))</f>
        <v>0</v>
      </c>
      <c r="AC94" s="284" t="str">
        <f>IFERROR(V94*AB94,"")</f>
        <v/>
      </c>
      <c r="AD94" s="443">
        <f t="shared" si="27"/>
        <v>0</v>
      </c>
      <c r="AE94" s="427" t="str">
        <f>IF(U94="Custom","Refer to WSEC R402.1.5 U-factor Reference and Calculations","")</f>
        <v/>
      </c>
      <c r="AF94" s="432"/>
      <c r="AG94" s="129"/>
      <c r="AH94" s="129"/>
      <c r="AI94" s="129"/>
      <c r="AJ94" s="129"/>
      <c r="AK94" s="129"/>
      <c r="AL94" s="129"/>
      <c r="AM94" s="129"/>
      <c r="AN94" s="129"/>
      <c r="AO94" s="129"/>
      <c r="AP94" s="129"/>
      <c r="AQ94" s="129"/>
      <c r="AR94" s="129"/>
      <c r="AS94" s="129"/>
      <c r="AT94" s="129"/>
      <c r="AU94" s="129"/>
      <c r="AV94" s="129"/>
      <c r="AW94" s="129"/>
    </row>
    <row r="95" spans="1:49" ht="15.75" customHeight="1">
      <c r="A95" s="129"/>
      <c r="B95" s="129"/>
      <c r="C95" s="269"/>
      <c r="D95" s="70"/>
      <c r="E95" s="140"/>
      <c r="F95" s="282" t="str">
        <f>IFERROR(VLOOKUP($E95,Table_OverheadGlazing,2,FALSE),"")</f>
        <v/>
      </c>
      <c r="G95" s="283" t="str">
        <f>IFERROR(VLOOKUP($E95,Table_OverheadGlazing,3,FALSE),"")</f>
        <v/>
      </c>
      <c r="H95" s="71"/>
      <c r="I95" s="72"/>
      <c r="J95" s="589"/>
      <c r="K95" s="72"/>
      <c r="L95" s="589"/>
      <c r="M95" s="406">
        <f t="shared" si="24"/>
        <v>0</v>
      </c>
      <c r="N95" s="284" t="str">
        <f>IFERROR(G95*M95,"")</f>
        <v/>
      </c>
      <c r="O95" s="443">
        <f t="shared" si="25"/>
        <v>0</v>
      </c>
      <c r="P95" s="427" t="str">
        <f t="shared" si="26"/>
        <v/>
      </c>
      <c r="Q95" s="129"/>
      <c r="R95" s="333" t="s">
        <v>1350</v>
      </c>
      <c r="S95" s="70"/>
      <c r="T95" s="140"/>
      <c r="U95" s="282" t="str">
        <f>IFERROR(VLOOKUP($T95,Table_OverheadGlazing,2,FALSE),"")</f>
        <v/>
      </c>
      <c r="V95" s="294" t="str">
        <f>IFERROR(VLOOKUP($T95,Table_OverheadGlazing,3,FALSE),"")</f>
        <v/>
      </c>
      <c r="W95" s="71"/>
      <c r="X95" s="72"/>
      <c r="Y95" s="589"/>
      <c r="Z95" s="72"/>
      <c r="AA95" s="589"/>
      <c r="AB95" s="284">
        <f>W95*(X95+(Y95/12))*(Z95+(AA95/12))</f>
        <v>0</v>
      </c>
      <c r="AC95" s="284" t="str">
        <f>IFERROR(V95*AB95,"")</f>
        <v/>
      </c>
      <c r="AD95" s="443">
        <f t="shared" si="27"/>
        <v>0</v>
      </c>
      <c r="AE95" s="427" t="str">
        <f>IF(U95="Custom","Refer to WSEC R402.1.5 U-factor Reference and Calculations","")</f>
        <v/>
      </c>
      <c r="AF95" s="432"/>
      <c r="AG95" s="129"/>
      <c r="AH95" s="129"/>
      <c r="AI95" s="129"/>
      <c r="AJ95" s="129"/>
      <c r="AK95" s="129"/>
      <c r="AL95" s="129"/>
      <c r="AM95" s="129"/>
      <c r="AN95" s="129"/>
      <c r="AO95" s="129"/>
      <c r="AP95" s="129"/>
      <c r="AQ95" s="129"/>
      <c r="AR95" s="129"/>
      <c r="AS95" s="129"/>
      <c r="AT95" s="129"/>
      <c r="AU95" s="129"/>
      <c r="AV95" s="129"/>
      <c r="AW95" s="129"/>
    </row>
    <row r="96" spans="1:49" ht="15.75" customHeight="1">
      <c r="A96" s="129"/>
      <c r="B96" s="129"/>
      <c r="C96" s="269"/>
      <c r="D96" s="225"/>
      <c r="E96" s="225"/>
      <c r="F96" s="270"/>
      <c r="G96" s="225"/>
      <c r="H96" s="1167" t="s">
        <v>1363</v>
      </c>
      <c r="I96" s="1167"/>
      <c r="J96" s="1167"/>
      <c r="K96" s="1167"/>
      <c r="L96" s="1168"/>
      <c r="M96" s="288">
        <f>IF(O96&gt;0,"",SUM(M91:M95))</f>
        <v>0</v>
      </c>
      <c r="N96" s="287">
        <f>IF(O96&gt;0,"Error",SUM(N91:N95))</f>
        <v>0</v>
      </c>
      <c r="O96" s="265">
        <f>SUM(O91:O95)</f>
        <v>0</v>
      </c>
      <c r="P96" s="431">
        <f>ROW(P95)-ROW(P91)+1-COUNTBLANK(P91:P95)</f>
        <v>0</v>
      </c>
      <c r="Q96" s="129"/>
      <c r="R96" s="220"/>
      <c r="S96" s="225"/>
      <c r="T96" s="225"/>
      <c r="U96" s="270"/>
      <c r="V96" s="225"/>
      <c r="W96" s="1167" t="s">
        <v>1363</v>
      </c>
      <c r="X96" s="1167"/>
      <c r="Y96" s="1167"/>
      <c r="Z96" s="1167"/>
      <c r="AA96" s="1168"/>
      <c r="AB96" s="287">
        <f>IF(AD96&gt;0,"",SUM(AB91:AB95))</f>
        <v>0</v>
      </c>
      <c r="AC96" s="287">
        <f>IF(AD96&gt;0,"Error",SUM(AC91:AC95))</f>
        <v>0</v>
      </c>
      <c r="AD96" s="326">
        <f>SUM(AD89:AD95)</f>
        <v>0</v>
      </c>
      <c r="AE96" s="434">
        <f>ROW(AE95)-ROW(AE91)+1-COUNTBLANK(AE91:AE95)</f>
        <v>0</v>
      </c>
      <c r="AF96" s="432"/>
      <c r="AG96" s="129"/>
      <c r="AH96" s="129"/>
      <c r="AI96" s="129"/>
      <c r="AJ96" s="129"/>
      <c r="AK96" s="129"/>
      <c r="AL96" s="129"/>
      <c r="AM96" s="129"/>
      <c r="AN96" s="129"/>
      <c r="AO96" s="129"/>
      <c r="AP96" s="129"/>
      <c r="AQ96" s="129"/>
      <c r="AR96" s="129"/>
      <c r="AS96" s="129"/>
      <c r="AT96" s="129"/>
      <c r="AU96" s="129"/>
      <c r="AV96" s="129"/>
      <c r="AW96" s="129"/>
    </row>
    <row r="97" spans="1:49" ht="15.75" customHeight="1">
      <c r="A97" s="129"/>
      <c r="B97" s="129"/>
      <c r="C97" s="269"/>
      <c r="D97" s="225"/>
      <c r="E97" s="225"/>
      <c r="F97" s="270"/>
      <c r="G97" s="225"/>
      <c r="H97" s="249"/>
      <c r="I97" s="249"/>
      <c r="J97" s="249"/>
      <c r="K97" s="249"/>
      <c r="L97" s="249" t="s">
        <v>2449</v>
      </c>
      <c r="M97" s="249"/>
      <c r="N97" s="296" t="str">
        <f>IFERROR(N96/M96,"")</f>
        <v/>
      </c>
      <c r="O97" s="443">
        <f>IF(AND(N97&lt;&gt;"",N97&gt;0.75),1,0)</f>
        <v>0</v>
      </c>
      <c r="P97" s="427" t="str">
        <f>IF(O97=1,"Area-weighted average U-factor exceeds max permitted in Section R402.5","")</f>
        <v/>
      </c>
      <c r="Q97" s="129"/>
      <c r="R97" s="220"/>
      <c r="S97" s="225"/>
      <c r="T97" s="225"/>
      <c r="U97" s="270"/>
      <c r="V97" s="225"/>
      <c r="W97" s="249"/>
      <c r="X97" s="249"/>
      <c r="Y97" s="249"/>
      <c r="Z97" s="249"/>
      <c r="AA97" s="249" t="str">
        <f>L97</f>
        <v>Overhead Glazing Area Weighted U</v>
      </c>
      <c r="AB97" s="249"/>
      <c r="AC97" s="296" t="str">
        <f>IFERROR(AC96/AB96,"")</f>
        <v/>
      </c>
      <c r="AD97" s="326"/>
      <c r="AE97" s="434"/>
      <c r="AF97" s="432"/>
      <c r="AG97" s="129"/>
      <c r="AH97" s="129"/>
      <c r="AI97" s="129"/>
      <c r="AJ97" s="129"/>
      <c r="AK97" s="129"/>
      <c r="AL97" s="129"/>
      <c r="AM97" s="129"/>
      <c r="AN97" s="129"/>
      <c r="AO97" s="129"/>
      <c r="AP97" s="129"/>
      <c r="AQ97" s="129"/>
      <c r="AR97" s="129"/>
      <c r="AS97" s="129"/>
      <c r="AT97" s="129"/>
      <c r="AU97" s="129"/>
      <c r="AV97" s="129"/>
      <c r="AW97" s="129"/>
    </row>
    <row r="98" spans="1:49" ht="15.75" customHeight="1">
      <c r="A98" s="129"/>
      <c r="B98" s="129"/>
      <c r="C98" s="271"/>
      <c r="D98" s="137"/>
      <c r="E98" s="137"/>
      <c r="F98" s="272"/>
      <c r="G98" s="137"/>
      <c r="H98" s="137"/>
      <c r="I98" s="137"/>
      <c r="J98" s="137"/>
      <c r="K98" s="137"/>
      <c r="L98" s="137"/>
      <c r="M98" s="137"/>
      <c r="N98" s="137"/>
      <c r="O98" s="274"/>
      <c r="P98" s="433"/>
      <c r="Q98" s="129"/>
      <c r="R98" s="266"/>
      <c r="S98" s="137"/>
      <c r="T98" s="137"/>
      <c r="U98" s="272"/>
      <c r="V98" s="137"/>
      <c r="W98" s="137"/>
      <c r="X98" s="137"/>
      <c r="Y98" s="137"/>
      <c r="Z98" s="137"/>
      <c r="AA98" s="137"/>
      <c r="AB98" s="137"/>
      <c r="AC98" s="137"/>
      <c r="AD98" s="274"/>
      <c r="AE98" s="432"/>
      <c r="AF98" s="432"/>
      <c r="AG98" s="129"/>
      <c r="AH98" s="129"/>
      <c r="AI98" s="129"/>
      <c r="AJ98" s="129"/>
      <c r="AK98" s="129"/>
      <c r="AL98" s="129"/>
      <c r="AM98" s="129"/>
      <c r="AN98" s="129"/>
      <c r="AO98" s="129"/>
      <c r="AP98" s="129"/>
      <c r="AQ98" s="129"/>
      <c r="AR98" s="129"/>
      <c r="AS98" s="129"/>
      <c r="AT98" s="129"/>
      <c r="AU98" s="129"/>
      <c r="AV98" s="129"/>
      <c r="AW98" s="129"/>
    </row>
    <row r="99" spans="1:49" ht="15.75" customHeight="1">
      <c r="A99" s="129"/>
      <c r="B99" s="129"/>
      <c r="C99" s="129"/>
      <c r="D99" s="129"/>
      <c r="E99" s="129"/>
      <c r="F99" s="142"/>
      <c r="G99" s="129"/>
      <c r="H99" s="129"/>
      <c r="I99" s="129"/>
      <c r="J99" s="129"/>
      <c r="K99" s="129"/>
      <c r="L99" s="129"/>
      <c r="M99" s="129"/>
      <c r="N99" s="129"/>
      <c r="O99" s="132"/>
      <c r="P99" s="432"/>
      <c r="Q99" s="129"/>
      <c r="R99" s="129"/>
      <c r="S99" s="129"/>
      <c r="T99" s="129"/>
      <c r="U99" s="142"/>
      <c r="V99" s="129"/>
      <c r="W99" s="129"/>
      <c r="X99" s="129"/>
      <c r="Y99" s="129"/>
      <c r="Z99" s="129"/>
      <c r="AA99" s="129"/>
      <c r="AB99" s="129"/>
      <c r="AC99" s="129"/>
      <c r="AD99" s="132"/>
      <c r="AE99" s="432"/>
      <c r="AF99" s="432"/>
      <c r="AG99" s="129"/>
      <c r="AH99" s="129"/>
      <c r="AI99" s="129"/>
      <c r="AJ99" s="129"/>
      <c r="AK99" s="129"/>
      <c r="AL99" s="129"/>
      <c r="AM99" s="129"/>
      <c r="AN99" s="129"/>
      <c r="AO99" s="129"/>
      <c r="AP99" s="129"/>
      <c r="AQ99" s="129"/>
      <c r="AR99" s="129"/>
      <c r="AS99" s="129"/>
      <c r="AT99" s="129"/>
      <c r="AU99" s="129"/>
      <c r="AV99" s="129"/>
      <c r="AW99" s="129"/>
    </row>
    <row r="100" spans="1:49" ht="20.100000000000001" customHeight="1">
      <c r="A100" s="588"/>
      <c r="B100" s="588"/>
      <c r="C100" s="253"/>
      <c r="D100" s="267" t="s">
        <v>2168</v>
      </c>
      <c r="E100" s="254"/>
      <c r="F100" s="275"/>
      <c r="G100" s="276"/>
      <c r="H100" s="276"/>
      <c r="I100" s="276"/>
      <c r="J100" s="276"/>
      <c r="K100" s="276"/>
      <c r="L100" s="276"/>
      <c r="M100" s="277" t="s">
        <v>2173</v>
      </c>
      <c r="N100" s="70">
        <v>16</v>
      </c>
      <c r="O100" s="255"/>
      <c r="P100" s="432"/>
      <c r="Q100" s="129"/>
      <c r="R100" s="329"/>
      <c r="S100" s="267" t="s">
        <v>1335</v>
      </c>
      <c r="T100" s="330"/>
      <c r="U100" s="330"/>
      <c r="V100" s="331"/>
      <c r="W100" s="331"/>
      <c r="X100" s="331"/>
      <c r="Y100" s="331"/>
      <c r="Z100" s="331"/>
      <c r="AA100" s="331"/>
      <c r="AB100" s="331"/>
      <c r="AC100" s="331"/>
      <c r="AD100" s="332"/>
      <c r="AE100" s="432"/>
      <c r="AF100" s="432"/>
      <c r="AG100" s="129"/>
      <c r="AH100" s="129"/>
      <c r="AI100" s="129"/>
      <c r="AJ100" s="129"/>
      <c r="AK100" s="129"/>
      <c r="AL100" s="129"/>
      <c r="AM100" s="129"/>
      <c r="AN100" s="129"/>
      <c r="AO100" s="129"/>
      <c r="AP100" s="129"/>
      <c r="AQ100" s="129"/>
      <c r="AR100" s="129"/>
      <c r="AS100" s="129"/>
      <c r="AT100" s="129"/>
      <c r="AU100" s="129"/>
      <c r="AV100" s="129"/>
      <c r="AW100" s="129"/>
    </row>
    <row r="101" spans="1:49" ht="15.75" customHeight="1">
      <c r="A101" s="129"/>
      <c r="B101" s="129"/>
      <c r="C101" s="216"/>
      <c r="D101" s="290" t="s">
        <v>1337</v>
      </c>
      <c r="E101" s="301" t="s">
        <v>1339</v>
      </c>
      <c r="F101" s="1155" t="s">
        <v>1354</v>
      </c>
      <c r="G101" s="291" t="s">
        <v>1351</v>
      </c>
      <c r="H101" s="1165" t="s">
        <v>1349</v>
      </c>
      <c r="I101" s="1171" t="s">
        <v>1362</v>
      </c>
      <c r="J101" s="1172"/>
      <c r="K101" s="1134" t="s">
        <v>1346</v>
      </c>
      <c r="L101" s="1134"/>
      <c r="M101" s="1165" t="s">
        <v>1343</v>
      </c>
      <c r="N101" s="1165" t="s">
        <v>1344</v>
      </c>
      <c r="O101" s="219"/>
      <c r="P101" s="432"/>
      <c r="Q101" s="129"/>
      <c r="R101" s="216"/>
      <c r="S101" s="290" t="s">
        <v>1337</v>
      </c>
      <c r="T101" s="301" t="s">
        <v>1339</v>
      </c>
      <c r="U101" s="1155" t="s">
        <v>1354</v>
      </c>
      <c r="V101" s="291" t="s">
        <v>1351</v>
      </c>
      <c r="W101" s="1165" t="s">
        <v>1349</v>
      </c>
      <c r="X101" s="1171" t="s">
        <v>1362</v>
      </c>
      <c r="Y101" s="1172"/>
      <c r="Z101" s="1134" t="s">
        <v>1346</v>
      </c>
      <c r="AA101" s="1134"/>
      <c r="AB101" s="1165" t="s">
        <v>1343</v>
      </c>
      <c r="AC101" s="1165" t="s">
        <v>1344</v>
      </c>
      <c r="AD101" s="219"/>
      <c r="AE101" s="432"/>
      <c r="AF101" s="432"/>
      <c r="AG101" s="129"/>
      <c r="AH101" s="129"/>
      <c r="AI101" s="129"/>
      <c r="AJ101" s="129"/>
      <c r="AK101" s="129"/>
      <c r="AL101" s="129"/>
      <c r="AM101" s="129"/>
      <c r="AN101" s="129"/>
      <c r="AO101" s="129"/>
      <c r="AP101" s="129"/>
      <c r="AQ101" s="129"/>
      <c r="AR101" s="129"/>
      <c r="AS101" s="129"/>
      <c r="AT101" s="129"/>
      <c r="AU101" s="129"/>
      <c r="AV101" s="129"/>
      <c r="AW101" s="129"/>
    </row>
    <row r="102" spans="1:49" ht="15.75" customHeight="1">
      <c r="A102" s="129"/>
      <c r="B102" s="129"/>
      <c r="C102" s="220"/>
      <c r="D102" s="293" t="s">
        <v>1338</v>
      </c>
      <c r="E102" s="295" t="s">
        <v>1340</v>
      </c>
      <c r="F102" s="1156"/>
      <c r="G102" s="293" t="s">
        <v>1342</v>
      </c>
      <c r="H102" s="1166"/>
      <c r="I102" s="279" t="s">
        <v>1347</v>
      </c>
      <c r="J102" s="281" t="s">
        <v>1348</v>
      </c>
      <c r="K102" s="279" t="s">
        <v>1347</v>
      </c>
      <c r="L102" s="281" t="s">
        <v>1348</v>
      </c>
      <c r="M102" s="1166"/>
      <c r="N102" s="1166"/>
      <c r="O102" s="223"/>
      <c r="P102" s="432"/>
      <c r="Q102" s="129"/>
      <c r="R102" s="333" t="s">
        <v>1350</v>
      </c>
      <c r="S102" s="293" t="s">
        <v>1338</v>
      </c>
      <c r="T102" s="295" t="s">
        <v>1340</v>
      </c>
      <c r="U102" s="1156"/>
      <c r="V102" s="293" t="s">
        <v>1342</v>
      </c>
      <c r="W102" s="1166"/>
      <c r="X102" s="279" t="s">
        <v>1347</v>
      </c>
      <c r="Y102" s="281" t="s">
        <v>1348</v>
      </c>
      <c r="Z102" s="279" t="s">
        <v>1347</v>
      </c>
      <c r="AA102" s="281" t="s">
        <v>1348</v>
      </c>
      <c r="AB102" s="1166"/>
      <c r="AC102" s="1166"/>
      <c r="AD102" s="223"/>
      <c r="AE102" s="432"/>
      <c r="AF102" s="432"/>
      <c r="AG102" s="129"/>
      <c r="AH102" s="129"/>
      <c r="AI102" s="129"/>
      <c r="AJ102" s="129"/>
      <c r="AK102" s="129"/>
      <c r="AL102" s="129"/>
      <c r="AM102" s="129"/>
      <c r="AN102" s="129"/>
      <c r="AO102" s="129"/>
      <c r="AP102" s="129"/>
      <c r="AQ102" s="129"/>
      <c r="AR102" s="129"/>
      <c r="AS102" s="129"/>
      <c r="AT102" s="129"/>
      <c r="AU102" s="129"/>
      <c r="AV102" s="129"/>
      <c r="AW102" s="129"/>
    </row>
    <row r="103" spans="1:49" ht="15.75" hidden="1" customHeight="1">
      <c r="A103" s="129"/>
      <c r="B103" s="129"/>
      <c r="C103" s="220"/>
      <c r="D103" s="293" t="s">
        <v>2326</v>
      </c>
      <c r="E103" s="141"/>
      <c r="F103" s="407" t="str">
        <f t="shared" ref="F103:F163" si="28">IFERROR(VLOOKUP($E103,Table_VerticalGlazing,2,FALSE),"")</f>
        <v/>
      </c>
      <c r="G103" s="282">
        <f>IFERROR(VLOOKUP($E103,Table_VerticalGlazing,3,FALSE),0)</f>
        <v>0</v>
      </c>
      <c r="H103" s="405"/>
      <c r="I103" s="72"/>
      <c r="J103" s="73"/>
      <c r="K103" s="72"/>
      <c r="L103" s="73"/>
      <c r="M103" s="406">
        <f>IFERROR(H103*(I103+(J103/12))*(K103+(L103/12)),"")</f>
        <v>0</v>
      </c>
      <c r="N103" s="278">
        <f>IFERROR(G103*M103,0)</f>
        <v>0</v>
      </c>
      <c r="O103" s="273">
        <f>IF(AND(M103&gt;15,F19&lt;&gt;"R2 Multifamily"),1,IF(AND(E103="",M103=0),0,IF(AND(E103="",M103&gt;0),1,IF(AND(E103&lt;&gt;"",N103=0),1,IF(AND(F103="Custom",G103=0),1,IF(AND(G103="",SUM(H103:L103)=0),0,IF(AND(G103&lt;&gt;"",M103&gt;0),0,1)))))))</f>
        <v>0</v>
      </c>
      <c r="P103" s="427" t="str">
        <f t="shared" ref="P103" si="29">IF(AND(E103&lt;&gt;"",G103&gt;0.48),"U-value exceeds maximum permitted for tradeoffs (Section R402.5)",IF(F103="Custom",IF(G103=0,"U-value missing in Custom Input","Refer to WSEC R402.1.5 U-factor Reference and Calculations"),""))</f>
        <v/>
      </c>
      <c r="Q103" s="129"/>
      <c r="R103" s="333"/>
      <c r="S103" s="293"/>
      <c r="T103" s="295"/>
      <c r="U103" s="295"/>
      <c r="V103" s="293"/>
      <c r="W103" s="293"/>
      <c r="X103" s="279"/>
      <c r="Y103" s="281"/>
      <c r="Z103" s="279"/>
      <c r="AA103" s="281"/>
      <c r="AB103" s="293"/>
      <c r="AC103" s="293"/>
      <c r="AD103" s="223"/>
      <c r="AE103" s="432"/>
      <c r="AF103" s="432"/>
      <c r="AG103" s="129"/>
      <c r="AH103" s="129"/>
      <c r="AI103" s="129"/>
      <c r="AJ103" s="129"/>
      <c r="AK103" s="129"/>
      <c r="AL103" s="129"/>
      <c r="AM103" s="129"/>
      <c r="AN103" s="129"/>
      <c r="AO103" s="129"/>
      <c r="AP103" s="129"/>
      <c r="AQ103" s="129"/>
      <c r="AR103" s="129"/>
      <c r="AS103" s="129"/>
      <c r="AT103" s="129"/>
      <c r="AU103" s="129"/>
      <c r="AV103" s="129"/>
      <c r="AW103" s="129"/>
    </row>
    <row r="104" spans="1:49" ht="15.75" customHeight="1">
      <c r="A104" s="131"/>
      <c r="B104" s="131"/>
      <c r="C104" s="302">
        <v>1</v>
      </c>
      <c r="D104" s="327" t="s">
        <v>3227</v>
      </c>
      <c r="E104" s="141" t="s">
        <v>2579</v>
      </c>
      <c r="F104" s="407" t="str">
        <f t="shared" si="28"/>
        <v>Table 406.2 / 406.3</v>
      </c>
      <c r="G104" s="282">
        <f t="shared" ref="G104:G135" si="30">IFERROR(VLOOKUP($E104,Table_VerticalGlazing,3,FALSE),"")</f>
        <v>0.3</v>
      </c>
      <c r="H104" s="71">
        <v>2</v>
      </c>
      <c r="I104" s="72">
        <v>5</v>
      </c>
      <c r="J104" s="589">
        <v>6</v>
      </c>
      <c r="K104" s="72">
        <v>3</v>
      </c>
      <c r="L104" s="589">
        <v>6</v>
      </c>
      <c r="M104" s="406">
        <f t="shared" ref="M104:M163" si="31">IFERROR(H104*(I104+(J104/12))*(K104+(L104/12)),"")</f>
        <v>38.5</v>
      </c>
      <c r="N104" s="278">
        <f>IFERROR(G104*M104,0)</f>
        <v>11.549999999999999</v>
      </c>
      <c r="O104" s="443">
        <f t="shared" ref="O104:O163" si="32">IF(AND(TRIM(E104)="",OR(M104=0,M104="")),0,IF(AND(E104="",M104&gt;0),1,IF(AND(E104&lt;&gt;"",N104=0),1,IF(AND(F104="Custom",G104=0),1,IF(AND(G104="",SUM(H104:L104)=0),0,IF(AND(G104&lt;&gt;"",M104&gt;0),0,1))))))</f>
        <v>0</v>
      </c>
      <c r="P104" s="427" t="str">
        <f>IF(F104="Custom",IF(G104=0,"U-value missing in Custom Input","Refer to WSEC R402.1.5 U-factor Reference and Calculations"),"")</f>
        <v/>
      </c>
      <c r="Q104" s="129"/>
      <c r="R104" s="333" t="s">
        <v>1350</v>
      </c>
      <c r="S104" s="127"/>
      <c r="T104" s="141" t="s">
        <v>2580</v>
      </c>
      <c r="U104" s="294" t="str">
        <f t="shared" ref="U104:U135" si="33">IFERROR(VLOOKUP($T104,Table_VerticalGlazing,2,FALSE),"")</f>
        <v>10-6B</v>
      </c>
      <c r="V104" s="318">
        <f t="shared" ref="V104:V135" si="34">IFERROR(VLOOKUP(T104,Table_VerticalGlazing,3,FALSE),0)</f>
        <v>0.3</v>
      </c>
      <c r="W104" s="405">
        <v>8</v>
      </c>
      <c r="X104" s="72">
        <v>5</v>
      </c>
      <c r="Y104" s="73"/>
      <c r="Z104" s="72">
        <v>4</v>
      </c>
      <c r="AA104" s="73"/>
      <c r="AB104" s="406">
        <f t="shared" ref="AB104:AB163" si="35">W104*(X104+(Y104/12))*(Z104+(AA104/12))</f>
        <v>160</v>
      </c>
      <c r="AC104" s="406">
        <f>IFERROR(V104*AB104,0)</f>
        <v>48</v>
      </c>
      <c r="AD104" s="443">
        <f>IF(AND(T104="",AB104=0),0,IF(AND(T104="",AB104&gt;0),1,IF(AND(T104&lt;&gt;"",AC104=0),1,IF(AND(U104="Custom",V104=0),1,IF(AND(V104="",SUM(W104:AA104)=0),0,IF(AND(V104&lt;&gt;"",AB104&gt;0),0,1))))))</f>
        <v>0</v>
      </c>
      <c r="AE104" s="427" t="str">
        <f>IF(U104="Custom","Refer to WSEC R402.1.5 U-factor Reference and Calculations","")</f>
        <v/>
      </c>
      <c r="AF104" s="432"/>
      <c r="AG104" s="129"/>
      <c r="AH104" s="129"/>
      <c r="AI104" s="129"/>
      <c r="AJ104" s="129"/>
      <c r="AK104" s="129"/>
      <c r="AL104" s="129"/>
      <c r="AM104" s="129"/>
      <c r="AN104" s="129"/>
      <c r="AO104" s="129"/>
      <c r="AP104" s="129"/>
      <c r="AQ104" s="129"/>
      <c r="AR104" s="129"/>
      <c r="AS104" s="129"/>
      <c r="AT104" s="129"/>
      <c r="AU104" s="129"/>
      <c r="AV104" s="129"/>
      <c r="AW104" s="129"/>
    </row>
    <row r="105" spans="1:49" ht="15.75" customHeight="1">
      <c r="A105" s="129"/>
      <c r="B105" s="129"/>
      <c r="C105" s="302">
        <f>C104+1</f>
        <v>2</v>
      </c>
      <c r="D105" s="327" t="s">
        <v>3227</v>
      </c>
      <c r="E105" s="141" t="s">
        <v>2579</v>
      </c>
      <c r="F105" s="407" t="str">
        <f t="shared" si="28"/>
        <v>Table 406.2 / 406.3</v>
      </c>
      <c r="G105" s="282">
        <f t="shared" si="30"/>
        <v>0.3</v>
      </c>
      <c r="H105" s="405">
        <v>1</v>
      </c>
      <c r="I105" s="72">
        <v>3</v>
      </c>
      <c r="J105" s="589">
        <v>0</v>
      </c>
      <c r="K105" s="72">
        <v>3</v>
      </c>
      <c r="L105" s="589">
        <v>6</v>
      </c>
      <c r="M105" s="406">
        <f t="shared" si="31"/>
        <v>10.5</v>
      </c>
      <c r="N105" s="278">
        <f>IFERROR(G105*M105,0)</f>
        <v>3.15</v>
      </c>
      <c r="O105" s="443">
        <f t="shared" si="32"/>
        <v>0</v>
      </c>
      <c r="P105" s="427" t="str">
        <f t="shared" ref="P105:P163" si="36">IF(F105="Custom",IF(G105=0,"U-value missing in Custom Input","Refer to WSEC R402.1.5 U-factor Reference and Calculations"),"")</f>
        <v/>
      </c>
      <c r="Q105" s="129"/>
      <c r="R105" s="333" t="s">
        <v>1350</v>
      </c>
      <c r="S105" s="445"/>
      <c r="T105" s="141"/>
      <c r="U105" s="294" t="str">
        <f t="shared" si="33"/>
        <v/>
      </c>
      <c r="V105" s="318">
        <f t="shared" si="34"/>
        <v>0</v>
      </c>
      <c r="W105" s="405"/>
      <c r="X105" s="72"/>
      <c r="Y105" s="589"/>
      <c r="Z105" s="72"/>
      <c r="AA105" s="589"/>
      <c r="AB105" s="406">
        <f t="shared" si="35"/>
        <v>0</v>
      </c>
      <c r="AC105" s="406">
        <f t="shared" ref="AC105:AC163" si="37">IFERROR(V105*AB105,0)</f>
        <v>0</v>
      </c>
      <c r="AD105" s="443">
        <f t="shared" ref="AD105:AD163" si="38">IF(AND(T105="",AB105=0),0,IF(AND(T105="",AB105&gt;0),1,IF(AND(T105&lt;&gt;"",AC105=0),1,IF(AND(U105="Custom",V105=0),1,IF(AND(V105="",SUM(W105:AA105)=0),0,IF(AND(V105&lt;&gt;"",AB105&gt;0),0,1))))))</f>
        <v>0</v>
      </c>
      <c r="AE105" s="427" t="str">
        <f t="shared" ref="AE105:AE163" si="39">IF(U105="Custom","Refer to WSEC R402.1.5 U-factor Reference and Calculations","")</f>
        <v/>
      </c>
      <c r="AF105" s="432"/>
      <c r="AG105" s="129"/>
      <c r="AH105" s="129"/>
      <c r="AI105" s="129"/>
      <c r="AJ105" s="129"/>
      <c r="AK105" s="129"/>
      <c r="AL105" s="129"/>
      <c r="AM105" s="129"/>
      <c r="AN105" s="129"/>
      <c r="AO105" s="129"/>
      <c r="AP105" s="129"/>
      <c r="AQ105" s="129"/>
      <c r="AR105" s="129"/>
      <c r="AS105" s="129"/>
      <c r="AT105" s="129"/>
      <c r="AU105" s="129"/>
      <c r="AV105" s="129"/>
      <c r="AW105" s="129"/>
    </row>
    <row r="106" spans="1:49" ht="15.75" customHeight="1">
      <c r="A106" s="129"/>
      <c r="B106" s="129"/>
      <c r="C106" s="302">
        <f t="shared" ref="C106:C163" si="40">C105+1</f>
        <v>3</v>
      </c>
      <c r="D106" s="445" t="s">
        <v>3228</v>
      </c>
      <c r="E106" s="141" t="s">
        <v>2579</v>
      </c>
      <c r="F106" s="407" t="str">
        <f t="shared" si="28"/>
        <v>Table 406.2 / 406.3</v>
      </c>
      <c r="G106" s="282">
        <f t="shared" si="30"/>
        <v>0.3</v>
      </c>
      <c r="H106" s="71">
        <v>1</v>
      </c>
      <c r="I106" s="72">
        <v>6</v>
      </c>
      <c r="J106" s="589">
        <v>0</v>
      </c>
      <c r="K106" s="72">
        <v>4</v>
      </c>
      <c r="L106" s="589">
        <v>0</v>
      </c>
      <c r="M106" s="406">
        <f t="shared" si="31"/>
        <v>24</v>
      </c>
      <c r="N106" s="278">
        <f t="shared" ref="N106:N139" si="41">IFERROR(G106*M106,0)</f>
        <v>7.1999999999999993</v>
      </c>
      <c r="O106" s="443">
        <f t="shared" si="32"/>
        <v>0</v>
      </c>
      <c r="P106" s="427" t="str">
        <f t="shared" si="36"/>
        <v/>
      </c>
      <c r="Q106" s="129"/>
      <c r="R106" s="333" t="s">
        <v>1350</v>
      </c>
      <c r="S106" s="70"/>
      <c r="T106" s="141"/>
      <c r="U106" s="294" t="str">
        <f t="shared" si="33"/>
        <v/>
      </c>
      <c r="V106" s="318">
        <f t="shared" si="34"/>
        <v>0</v>
      </c>
      <c r="W106" s="71"/>
      <c r="X106" s="72"/>
      <c r="Y106" s="589"/>
      <c r="Z106" s="72"/>
      <c r="AA106" s="589"/>
      <c r="AB106" s="406">
        <f t="shared" si="35"/>
        <v>0</v>
      </c>
      <c r="AC106" s="406">
        <f t="shared" si="37"/>
        <v>0</v>
      </c>
      <c r="AD106" s="443">
        <f t="shared" si="38"/>
        <v>0</v>
      </c>
      <c r="AE106" s="427" t="str">
        <f t="shared" si="39"/>
        <v/>
      </c>
      <c r="AF106" s="432"/>
      <c r="AG106" s="129"/>
      <c r="AH106" s="129"/>
      <c r="AI106" s="129"/>
      <c r="AJ106" s="129"/>
      <c r="AK106" s="129"/>
      <c r="AL106" s="129"/>
      <c r="AM106" s="129"/>
      <c r="AN106" s="129"/>
      <c r="AO106" s="129"/>
      <c r="AP106" s="129"/>
      <c r="AQ106" s="129"/>
      <c r="AR106" s="129"/>
      <c r="AS106" s="129"/>
      <c r="AT106" s="129"/>
      <c r="AU106" s="129"/>
      <c r="AV106" s="129"/>
      <c r="AW106" s="129"/>
    </row>
    <row r="107" spans="1:49" ht="15.75" customHeight="1">
      <c r="A107" s="129"/>
      <c r="B107" s="129"/>
      <c r="C107" s="302">
        <f t="shared" si="40"/>
        <v>4</v>
      </c>
      <c r="D107" s="445" t="s">
        <v>3229</v>
      </c>
      <c r="E107" s="141" t="s">
        <v>2579</v>
      </c>
      <c r="F107" s="407" t="str">
        <f t="shared" si="28"/>
        <v>Table 406.2 / 406.3</v>
      </c>
      <c r="G107" s="282">
        <f t="shared" si="30"/>
        <v>0.3</v>
      </c>
      <c r="H107" s="71">
        <v>1</v>
      </c>
      <c r="I107" s="72">
        <v>5</v>
      </c>
      <c r="J107" s="589">
        <v>6</v>
      </c>
      <c r="K107" s="72">
        <v>3</v>
      </c>
      <c r="L107" s="589">
        <v>6</v>
      </c>
      <c r="M107" s="406">
        <f t="shared" si="31"/>
        <v>19.25</v>
      </c>
      <c r="N107" s="278">
        <f t="shared" si="41"/>
        <v>5.7749999999999995</v>
      </c>
      <c r="O107" s="443">
        <f t="shared" si="32"/>
        <v>0</v>
      </c>
      <c r="P107" s="427" t="str">
        <f t="shared" si="36"/>
        <v/>
      </c>
      <c r="Q107" s="129"/>
      <c r="R107" s="333" t="s">
        <v>1350</v>
      </c>
      <c r="S107" s="70"/>
      <c r="T107" s="141"/>
      <c r="U107" s="294" t="str">
        <f t="shared" si="33"/>
        <v/>
      </c>
      <c r="V107" s="318">
        <f t="shared" si="34"/>
        <v>0</v>
      </c>
      <c r="W107" s="71"/>
      <c r="X107" s="72"/>
      <c r="Y107" s="589"/>
      <c r="Z107" s="72"/>
      <c r="AA107" s="589"/>
      <c r="AB107" s="406">
        <f t="shared" si="35"/>
        <v>0</v>
      </c>
      <c r="AC107" s="406">
        <f t="shared" si="37"/>
        <v>0</v>
      </c>
      <c r="AD107" s="443">
        <f t="shared" si="38"/>
        <v>0</v>
      </c>
      <c r="AE107" s="427" t="str">
        <f t="shared" si="39"/>
        <v/>
      </c>
      <c r="AF107" s="432"/>
      <c r="AG107" s="129"/>
      <c r="AH107" s="129"/>
      <c r="AI107" s="129"/>
      <c r="AJ107" s="129"/>
      <c r="AK107" s="129"/>
      <c r="AL107" s="129"/>
      <c r="AM107" s="129"/>
      <c r="AN107" s="129"/>
      <c r="AO107" s="129"/>
      <c r="AP107" s="129"/>
      <c r="AQ107" s="129"/>
      <c r="AR107" s="129"/>
      <c r="AS107" s="129"/>
      <c r="AT107" s="129"/>
      <c r="AU107" s="129"/>
      <c r="AV107" s="129"/>
      <c r="AW107" s="129"/>
    </row>
    <row r="108" spans="1:49" ht="15.75" customHeight="1">
      <c r="A108" s="129"/>
      <c r="B108" s="129"/>
      <c r="C108" s="302">
        <f t="shared" si="40"/>
        <v>5</v>
      </c>
      <c r="D108" s="445" t="s">
        <v>3229</v>
      </c>
      <c r="E108" s="141" t="s">
        <v>2579</v>
      </c>
      <c r="F108" s="407" t="str">
        <f t="shared" si="28"/>
        <v>Table 406.2 / 406.3</v>
      </c>
      <c r="G108" s="282">
        <f t="shared" si="30"/>
        <v>0.3</v>
      </c>
      <c r="H108" s="71">
        <v>1</v>
      </c>
      <c r="I108" s="72">
        <v>2</v>
      </c>
      <c r="J108" s="589">
        <v>0</v>
      </c>
      <c r="K108" s="72">
        <v>2</v>
      </c>
      <c r="L108" s="589">
        <v>6</v>
      </c>
      <c r="M108" s="406">
        <f t="shared" si="31"/>
        <v>5</v>
      </c>
      <c r="N108" s="278">
        <f t="shared" si="41"/>
        <v>1.5</v>
      </c>
      <c r="O108" s="443">
        <f t="shared" si="32"/>
        <v>0</v>
      </c>
      <c r="P108" s="427" t="str">
        <f t="shared" si="36"/>
        <v/>
      </c>
      <c r="Q108" s="129"/>
      <c r="R108" s="333" t="s">
        <v>1350</v>
      </c>
      <c r="S108" s="70"/>
      <c r="T108" s="141"/>
      <c r="U108" s="294" t="str">
        <f t="shared" si="33"/>
        <v/>
      </c>
      <c r="V108" s="318">
        <f t="shared" si="34"/>
        <v>0</v>
      </c>
      <c r="W108" s="71"/>
      <c r="X108" s="72"/>
      <c r="Y108" s="589"/>
      <c r="Z108" s="72"/>
      <c r="AA108" s="589"/>
      <c r="AB108" s="406">
        <f t="shared" si="35"/>
        <v>0</v>
      </c>
      <c r="AC108" s="406">
        <f t="shared" si="37"/>
        <v>0</v>
      </c>
      <c r="AD108" s="443">
        <f t="shared" si="38"/>
        <v>0</v>
      </c>
      <c r="AE108" s="427" t="str">
        <f t="shared" si="39"/>
        <v/>
      </c>
      <c r="AF108" s="432"/>
      <c r="AG108" s="129"/>
      <c r="AH108" s="129"/>
      <c r="AI108" s="129"/>
      <c r="AJ108" s="129"/>
      <c r="AK108" s="129"/>
      <c r="AL108" s="129"/>
      <c r="AM108" s="129"/>
      <c r="AN108" s="129"/>
      <c r="AO108" s="129"/>
      <c r="AP108" s="129"/>
      <c r="AQ108" s="129"/>
      <c r="AR108" s="129"/>
      <c r="AS108" s="129"/>
      <c r="AT108" s="129"/>
      <c r="AU108" s="129"/>
      <c r="AV108" s="129"/>
      <c r="AW108" s="129"/>
    </row>
    <row r="109" spans="1:49" ht="15.75" customHeight="1">
      <c r="A109" s="129"/>
      <c r="B109" s="129"/>
      <c r="C109" s="302">
        <f t="shared" si="40"/>
        <v>6</v>
      </c>
      <c r="D109" s="445" t="s">
        <v>3230</v>
      </c>
      <c r="E109" s="141" t="s">
        <v>2579</v>
      </c>
      <c r="F109" s="407" t="str">
        <f t="shared" si="28"/>
        <v>Table 406.2 / 406.3</v>
      </c>
      <c r="G109" s="282">
        <f t="shared" si="30"/>
        <v>0.3</v>
      </c>
      <c r="H109" s="71">
        <v>2</v>
      </c>
      <c r="I109" s="72">
        <v>5</v>
      </c>
      <c r="J109" s="589">
        <v>0</v>
      </c>
      <c r="K109" s="72">
        <v>3</v>
      </c>
      <c r="L109" s="589">
        <v>6</v>
      </c>
      <c r="M109" s="406">
        <f t="shared" si="31"/>
        <v>35</v>
      </c>
      <c r="N109" s="278">
        <f t="shared" si="41"/>
        <v>10.5</v>
      </c>
      <c r="O109" s="443">
        <f t="shared" si="32"/>
        <v>0</v>
      </c>
      <c r="P109" s="427" t="str">
        <f t="shared" si="36"/>
        <v/>
      </c>
      <c r="Q109" s="129"/>
      <c r="R109" s="333" t="s">
        <v>1350</v>
      </c>
      <c r="S109" s="70"/>
      <c r="T109" s="141"/>
      <c r="U109" s="294" t="str">
        <f t="shared" si="33"/>
        <v/>
      </c>
      <c r="V109" s="318">
        <f t="shared" si="34"/>
        <v>0</v>
      </c>
      <c r="W109" s="71"/>
      <c r="X109" s="72"/>
      <c r="Y109" s="589"/>
      <c r="Z109" s="72"/>
      <c r="AA109" s="589"/>
      <c r="AB109" s="406">
        <f t="shared" si="35"/>
        <v>0</v>
      </c>
      <c r="AC109" s="406">
        <f t="shared" si="37"/>
        <v>0</v>
      </c>
      <c r="AD109" s="443">
        <f t="shared" si="38"/>
        <v>0</v>
      </c>
      <c r="AE109" s="427" t="str">
        <f t="shared" si="39"/>
        <v/>
      </c>
      <c r="AF109" s="432"/>
      <c r="AG109" s="129"/>
      <c r="AH109" s="129"/>
      <c r="AI109" s="129"/>
      <c r="AJ109" s="129"/>
      <c r="AK109" s="129"/>
      <c r="AL109" s="129"/>
      <c r="AM109" s="129"/>
      <c r="AN109" s="129"/>
      <c r="AO109" s="129"/>
      <c r="AP109" s="129"/>
      <c r="AQ109" s="129"/>
      <c r="AR109" s="129"/>
      <c r="AS109" s="129"/>
      <c r="AT109" s="129"/>
      <c r="AU109" s="129"/>
      <c r="AV109" s="129"/>
      <c r="AW109" s="129"/>
    </row>
    <row r="110" spans="1:49" ht="15.75" customHeight="1">
      <c r="A110" s="129"/>
      <c r="B110" s="129"/>
      <c r="C110" s="302">
        <f t="shared" si="40"/>
        <v>7</v>
      </c>
      <c r="D110" s="445"/>
      <c r="E110" s="141" t="s">
        <v>1350</v>
      </c>
      <c r="F110" s="407" t="str">
        <f t="shared" si="28"/>
        <v/>
      </c>
      <c r="G110" s="282" t="str">
        <f t="shared" si="30"/>
        <v/>
      </c>
      <c r="H110" s="71"/>
      <c r="I110" s="72"/>
      <c r="J110" s="589"/>
      <c r="K110" s="72"/>
      <c r="L110" s="589"/>
      <c r="M110" s="406">
        <f t="shared" si="31"/>
        <v>0</v>
      </c>
      <c r="N110" s="278">
        <f t="shared" si="41"/>
        <v>0</v>
      </c>
      <c r="O110" s="443">
        <f t="shared" si="32"/>
        <v>0</v>
      </c>
      <c r="P110" s="427" t="str">
        <f t="shared" si="36"/>
        <v/>
      </c>
      <c r="Q110" s="129"/>
      <c r="R110" s="333" t="s">
        <v>1350</v>
      </c>
      <c r="S110" s="70"/>
      <c r="T110" s="141"/>
      <c r="U110" s="294" t="str">
        <f t="shared" si="33"/>
        <v/>
      </c>
      <c r="V110" s="318">
        <f t="shared" si="34"/>
        <v>0</v>
      </c>
      <c r="W110" s="71"/>
      <c r="X110" s="72"/>
      <c r="Y110" s="589"/>
      <c r="Z110" s="72"/>
      <c r="AA110" s="589"/>
      <c r="AB110" s="406">
        <f t="shared" si="35"/>
        <v>0</v>
      </c>
      <c r="AC110" s="406">
        <f t="shared" si="37"/>
        <v>0</v>
      </c>
      <c r="AD110" s="443">
        <f t="shared" si="38"/>
        <v>0</v>
      </c>
      <c r="AE110" s="427" t="str">
        <f t="shared" si="39"/>
        <v/>
      </c>
      <c r="AF110" s="432"/>
      <c r="AG110" s="129"/>
      <c r="AH110" s="129"/>
      <c r="AI110" s="129"/>
      <c r="AJ110" s="129"/>
      <c r="AK110" s="129"/>
      <c r="AL110" s="129"/>
      <c r="AM110" s="129"/>
      <c r="AN110" s="129"/>
      <c r="AO110" s="129"/>
      <c r="AP110" s="129"/>
      <c r="AQ110" s="129"/>
      <c r="AR110" s="129"/>
      <c r="AS110" s="129"/>
      <c r="AT110" s="129"/>
      <c r="AU110" s="129"/>
      <c r="AV110" s="129"/>
      <c r="AW110" s="129"/>
    </row>
    <row r="111" spans="1:49" ht="15.75" customHeight="1">
      <c r="A111" s="129"/>
      <c r="B111" s="129"/>
      <c r="C111" s="302">
        <f t="shared" si="40"/>
        <v>8</v>
      </c>
      <c r="D111" s="70"/>
      <c r="E111" s="141"/>
      <c r="F111" s="407" t="str">
        <f t="shared" si="28"/>
        <v/>
      </c>
      <c r="G111" s="282" t="str">
        <f t="shared" si="30"/>
        <v/>
      </c>
      <c r="H111" s="71"/>
      <c r="I111" s="72"/>
      <c r="J111" s="589"/>
      <c r="K111" s="72"/>
      <c r="L111" s="589"/>
      <c r="M111" s="406">
        <f t="shared" si="31"/>
        <v>0</v>
      </c>
      <c r="N111" s="278">
        <f t="shared" si="41"/>
        <v>0</v>
      </c>
      <c r="O111" s="443">
        <f t="shared" si="32"/>
        <v>0</v>
      </c>
      <c r="P111" s="427" t="str">
        <f t="shared" si="36"/>
        <v/>
      </c>
      <c r="Q111" s="129"/>
      <c r="R111" s="333" t="s">
        <v>1350</v>
      </c>
      <c r="S111" s="70"/>
      <c r="T111" s="141"/>
      <c r="U111" s="294" t="str">
        <f t="shared" si="33"/>
        <v/>
      </c>
      <c r="V111" s="318">
        <f t="shared" si="34"/>
        <v>0</v>
      </c>
      <c r="W111" s="71"/>
      <c r="X111" s="72"/>
      <c r="Y111" s="589"/>
      <c r="Z111" s="72"/>
      <c r="AA111" s="589"/>
      <c r="AB111" s="406">
        <f t="shared" si="35"/>
        <v>0</v>
      </c>
      <c r="AC111" s="406">
        <f t="shared" si="37"/>
        <v>0</v>
      </c>
      <c r="AD111" s="443">
        <f t="shared" si="38"/>
        <v>0</v>
      </c>
      <c r="AE111" s="427" t="str">
        <f t="shared" si="39"/>
        <v/>
      </c>
      <c r="AF111" s="432"/>
      <c r="AG111" s="129"/>
      <c r="AH111" s="129"/>
      <c r="AI111" s="129"/>
      <c r="AJ111" s="129"/>
      <c r="AK111" s="129"/>
      <c r="AL111" s="129"/>
      <c r="AM111" s="129"/>
      <c r="AN111" s="129"/>
      <c r="AO111" s="129"/>
      <c r="AP111" s="129"/>
      <c r="AQ111" s="129"/>
      <c r="AR111" s="129"/>
      <c r="AS111" s="129"/>
      <c r="AT111" s="129"/>
      <c r="AU111" s="129"/>
      <c r="AV111" s="129"/>
      <c r="AW111" s="129"/>
    </row>
    <row r="112" spans="1:49" ht="15.75" customHeight="1">
      <c r="A112" s="129"/>
      <c r="B112" s="129"/>
      <c r="C112" s="302">
        <f t="shared" si="40"/>
        <v>9</v>
      </c>
      <c r="D112" s="70"/>
      <c r="E112" s="141"/>
      <c r="F112" s="282" t="str">
        <f t="shared" si="28"/>
        <v/>
      </c>
      <c r="G112" s="282" t="str">
        <f t="shared" si="30"/>
        <v/>
      </c>
      <c r="H112" s="71"/>
      <c r="I112" s="72"/>
      <c r="J112" s="589"/>
      <c r="K112" s="72"/>
      <c r="L112" s="589"/>
      <c r="M112" s="406">
        <f t="shared" si="31"/>
        <v>0</v>
      </c>
      <c r="N112" s="278">
        <f t="shared" si="41"/>
        <v>0</v>
      </c>
      <c r="O112" s="443">
        <f t="shared" si="32"/>
        <v>0</v>
      </c>
      <c r="P112" s="427" t="str">
        <f t="shared" si="36"/>
        <v/>
      </c>
      <c r="Q112" s="129"/>
      <c r="R112" s="333" t="s">
        <v>1350</v>
      </c>
      <c r="S112" s="70"/>
      <c r="T112" s="141"/>
      <c r="U112" s="294" t="str">
        <f t="shared" si="33"/>
        <v/>
      </c>
      <c r="V112" s="318">
        <f t="shared" si="34"/>
        <v>0</v>
      </c>
      <c r="W112" s="71"/>
      <c r="X112" s="72"/>
      <c r="Y112" s="589"/>
      <c r="Z112" s="72"/>
      <c r="AA112" s="589"/>
      <c r="AB112" s="406">
        <f t="shared" si="35"/>
        <v>0</v>
      </c>
      <c r="AC112" s="406">
        <f t="shared" si="37"/>
        <v>0</v>
      </c>
      <c r="AD112" s="443">
        <f t="shared" si="38"/>
        <v>0</v>
      </c>
      <c r="AE112" s="427" t="str">
        <f t="shared" si="39"/>
        <v/>
      </c>
      <c r="AF112" s="432"/>
      <c r="AG112" s="129"/>
      <c r="AH112" s="129"/>
      <c r="AI112" s="129"/>
      <c r="AJ112" s="129"/>
      <c r="AK112" s="129"/>
      <c r="AL112" s="129"/>
      <c r="AM112" s="129"/>
      <c r="AN112" s="129"/>
      <c r="AO112" s="129"/>
      <c r="AP112" s="129"/>
      <c r="AQ112" s="129"/>
      <c r="AR112" s="129"/>
      <c r="AS112" s="129"/>
      <c r="AT112" s="129"/>
      <c r="AU112" s="129"/>
      <c r="AV112" s="129"/>
      <c r="AW112" s="129"/>
    </row>
    <row r="113" spans="1:49" ht="15.75" customHeight="1">
      <c r="A113" s="129"/>
      <c r="B113" s="129"/>
      <c r="C113" s="302">
        <f t="shared" si="40"/>
        <v>10</v>
      </c>
      <c r="D113" s="70"/>
      <c r="E113" s="141"/>
      <c r="F113" s="282" t="str">
        <f t="shared" si="28"/>
        <v/>
      </c>
      <c r="G113" s="282" t="str">
        <f t="shared" si="30"/>
        <v/>
      </c>
      <c r="H113" s="71"/>
      <c r="I113" s="72"/>
      <c r="J113" s="589"/>
      <c r="K113" s="72"/>
      <c r="L113" s="589"/>
      <c r="M113" s="406">
        <f t="shared" si="31"/>
        <v>0</v>
      </c>
      <c r="N113" s="278">
        <f t="shared" si="41"/>
        <v>0</v>
      </c>
      <c r="O113" s="443">
        <f t="shared" si="32"/>
        <v>0</v>
      </c>
      <c r="P113" s="427" t="str">
        <f t="shared" si="36"/>
        <v/>
      </c>
      <c r="Q113" s="129"/>
      <c r="R113" s="333" t="s">
        <v>1350</v>
      </c>
      <c r="S113" s="70"/>
      <c r="T113" s="140"/>
      <c r="U113" s="294" t="str">
        <f t="shared" si="33"/>
        <v/>
      </c>
      <c r="V113" s="318">
        <f t="shared" si="34"/>
        <v>0</v>
      </c>
      <c r="W113" s="71"/>
      <c r="X113" s="72"/>
      <c r="Y113" s="589"/>
      <c r="Z113" s="72"/>
      <c r="AA113" s="589"/>
      <c r="AB113" s="406">
        <f t="shared" si="35"/>
        <v>0</v>
      </c>
      <c r="AC113" s="406">
        <f t="shared" si="37"/>
        <v>0</v>
      </c>
      <c r="AD113" s="443">
        <f t="shared" si="38"/>
        <v>0</v>
      </c>
      <c r="AE113" s="427" t="str">
        <f t="shared" si="39"/>
        <v/>
      </c>
      <c r="AF113" s="432"/>
      <c r="AG113" s="129"/>
      <c r="AH113" s="129"/>
      <c r="AI113" s="129"/>
      <c r="AJ113" s="129"/>
      <c r="AK113" s="129"/>
      <c r="AL113" s="129"/>
      <c r="AM113" s="129"/>
      <c r="AN113" s="129"/>
      <c r="AO113" s="129"/>
      <c r="AP113" s="129"/>
      <c r="AQ113" s="129"/>
      <c r="AR113" s="129"/>
      <c r="AS113" s="129"/>
      <c r="AT113" s="129"/>
      <c r="AU113" s="129"/>
      <c r="AV113" s="129"/>
      <c r="AW113" s="129"/>
    </row>
    <row r="114" spans="1:49" ht="15.75" customHeight="1">
      <c r="A114" s="129"/>
      <c r="B114" s="129"/>
      <c r="C114" s="302">
        <f t="shared" si="40"/>
        <v>11</v>
      </c>
      <c r="D114" s="70"/>
      <c r="E114" s="141"/>
      <c r="F114" s="282" t="str">
        <f t="shared" si="28"/>
        <v/>
      </c>
      <c r="G114" s="282" t="str">
        <f t="shared" si="30"/>
        <v/>
      </c>
      <c r="H114" s="71"/>
      <c r="I114" s="72"/>
      <c r="J114" s="589"/>
      <c r="K114" s="72"/>
      <c r="L114" s="589"/>
      <c r="M114" s="406">
        <f t="shared" si="31"/>
        <v>0</v>
      </c>
      <c r="N114" s="278">
        <f t="shared" si="41"/>
        <v>0</v>
      </c>
      <c r="O114" s="443">
        <f t="shared" si="32"/>
        <v>0</v>
      </c>
      <c r="P114" s="427" t="str">
        <f t="shared" si="36"/>
        <v/>
      </c>
      <c r="Q114" s="129"/>
      <c r="R114" s="333" t="s">
        <v>1350</v>
      </c>
      <c r="S114" s="70"/>
      <c r="T114" s="141"/>
      <c r="U114" s="294" t="str">
        <f t="shared" si="33"/>
        <v/>
      </c>
      <c r="V114" s="318">
        <f t="shared" si="34"/>
        <v>0</v>
      </c>
      <c r="W114" s="71"/>
      <c r="X114" s="72"/>
      <c r="Y114" s="589"/>
      <c r="Z114" s="72"/>
      <c r="AA114" s="589"/>
      <c r="AB114" s="406">
        <f t="shared" si="35"/>
        <v>0</v>
      </c>
      <c r="AC114" s="406">
        <f t="shared" si="37"/>
        <v>0</v>
      </c>
      <c r="AD114" s="443">
        <f t="shared" si="38"/>
        <v>0</v>
      </c>
      <c r="AE114" s="427" t="str">
        <f t="shared" si="39"/>
        <v/>
      </c>
      <c r="AF114" s="432"/>
      <c r="AG114" s="129"/>
      <c r="AH114" s="129"/>
      <c r="AI114" s="129"/>
      <c r="AJ114" s="129"/>
      <c r="AK114" s="129"/>
      <c r="AL114" s="129"/>
      <c r="AM114" s="129"/>
      <c r="AN114" s="129"/>
      <c r="AO114" s="129"/>
      <c r="AP114" s="129"/>
      <c r="AQ114" s="129"/>
      <c r="AR114" s="129"/>
      <c r="AS114" s="129"/>
      <c r="AT114" s="129"/>
      <c r="AU114" s="129"/>
      <c r="AV114" s="129"/>
      <c r="AW114" s="129"/>
    </row>
    <row r="115" spans="1:49" ht="15.75" customHeight="1">
      <c r="A115" s="129"/>
      <c r="B115" s="129"/>
      <c r="C115" s="302">
        <f t="shared" si="40"/>
        <v>12</v>
      </c>
      <c r="D115" s="70"/>
      <c r="E115" s="141"/>
      <c r="F115" s="282" t="str">
        <f t="shared" si="28"/>
        <v/>
      </c>
      <c r="G115" s="282" t="str">
        <f t="shared" si="30"/>
        <v/>
      </c>
      <c r="H115" s="71"/>
      <c r="I115" s="72"/>
      <c r="J115" s="589"/>
      <c r="K115" s="72"/>
      <c r="L115" s="589"/>
      <c r="M115" s="406">
        <f t="shared" si="31"/>
        <v>0</v>
      </c>
      <c r="N115" s="278">
        <f t="shared" si="41"/>
        <v>0</v>
      </c>
      <c r="O115" s="443">
        <f t="shared" si="32"/>
        <v>0</v>
      </c>
      <c r="P115" s="427" t="str">
        <f t="shared" si="36"/>
        <v/>
      </c>
      <c r="Q115" s="129"/>
      <c r="R115" s="333" t="s">
        <v>1350</v>
      </c>
      <c r="S115" s="70"/>
      <c r="T115" s="141"/>
      <c r="U115" s="294" t="str">
        <f t="shared" si="33"/>
        <v/>
      </c>
      <c r="V115" s="318">
        <f t="shared" si="34"/>
        <v>0</v>
      </c>
      <c r="W115" s="71"/>
      <c r="X115" s="72"/>
      <c r="Y115" s="589"/>
      <c r="Z115" s="72"/>
      <c r="AA115" s="589"/>
      <c r="AB115" s="406">
        <f t="shared" si="35"/>
        <v>0</v>
      </c>
      <c r="AC115" s="406">
        <f t="shared" si="37"/>
        <v>0</v>
      </c>
      <c r="AD115" s="443">
        <f t="shared" si="38"/>
        <v>0</v>
      </c>
      <c r="AE115" s="427" t="str">
        <f t="shared" si="39"/>
        <v/>
      </c>
      <c r="AF115" s="432"/>
      <c r="AG115" s="129"/>
      <c r="AH115" s="129"/>
      <c r="AI115" s="129"/>
      <c r="AJ115" s="129"/>
      <c r="AK115" s="129"/>
      <c r="AL115" s="129"/>
      <c r="AM115" s="129"/>
      <c r="AN115" s="129"/>
      <c r="AO115" s="129"/>
      <c r="AP115" s="129"/>
      <c r="AQ115" s="129"/>
      <c r="AR115" s="129"/>
      <c r="AS115" s="129"/>
      <c r="AT115" s="129"/>
      <c r="AU115" s="129"/>
      <c r="AV115" s="129"/>
      <c r="AW115" s="129"/>
    </row>
    <row r="116" spans="1:49" ht="15.75" customHeight="1">
      <c r="A116" s="129"/>
      <c r="B116" s="129"/>
      <c r="C116" s="302">
        <f t="shared" si="40"/>
        <v>13</v>
      </c>
      <c r="D116" s="70"/>
      <c r="E116" s="141"/>
      <c r="F116" s="282" t="str">
        <f t="shared" si="28"/>
        <v/>
      </c>
      <c r="G116" s="282" t="str">
        <f t="shared" si="30"/>
        <v/>
      </c>
      <c r="H116" s="71"/>
      <c r="I116" s="72"/>
      <c r="J116" s="589"/>
      <c r="K116" s="72"/>
      <c r="L116" s="589"/>
      <c r="M116" s="406">
        <f t="shared" si="31"/>
        <v>0</v>
      </c>
      <c r="N116" s="278">
        <f t="shared" si="41"/>
        <v>0</v>
      </c>
      <c r="O116" s="443">
        <f t="shared" si="32"/>
        <v>0</v>
      </c>
      <c r="P116" s="427" t="str">
        <f t="shared" si="36"/>
        <v/>
      </c>
      <c r="Q116" s="129"/>
      <c r="R116" s="333" t="s">
        <v>1350</v>
      </c>
      <c r="S116" s="70"/>
      <c r="T116" s="141"/>
      <c r="U116" s="294" t="str">
        <f t="shared" si="33"/>
        <v/>
      </c>
      <c r="V116" s="318">
        <f t="shared" si="34"/>
        <v>0</v>
      </c>
      <c r="W116" s="71"/>
      <c r="X116" s="72"/>
      <c r="Y116" s="589"/>
      <c r="Z116" s="72"/>
      <c r="AA116" s="589"/>
      <c r="AB116" s="406">
        <f t="shared" si="35"/>
        <v>0</v>
      </c>
      <c r="AC116" s="406">
        <f t="shared" si="37"/>
        <v>0</v>
      </c>
      <c r="AD116" s="443">
        <f t="shared" si="38"/>
        <v>0</v>
      </c>
      <c r="AE116" s="427" t="str">
        <f t="shared" si="39"/>
        <v/>
      </c>
      <c r="AF116" s="432"/>
      <c r="AG116" s="129"/>
      <c r="AH116" s="129"/>
      <c r="AI116" s="129"/>
      <c r="AJ116" s="129"/>
      <c r="AK116" s="129"/>
      <c r="AL116" s="129"/>
      <c r="AM116" s="129"/>
      <c r="AN116" s="129"/>
      <c r="AO116" s="129"/>
      <c r="AP116" s="129"/>
      <c r="AQ116" s="129"/>
      <c r="AR116" s="129"/>
      <c r="AS116" s="129"/>
      <c r="AT116" s="129"/>
      <c r="AU116" s="129"/>
      <c r="AV116" s="129"/>
      <c r="AW116" s="129"/>
    </row>
    <row r="117" spans="1:49" ht="15.75" customHeight="1">
      <c r="A117" s="129"/>
      <c r="B117" s="129"/>
      <c r="C117" s="302">
        <f t="shared" si="40"/>
        <v>14</v>
      </c>
      <c r="D117" s="70"/>
      <c r="E117" s="141"/>
      <c r="F117" s="282" t="str">
        <f t="shared" si="28"/>
        <v/>
      </c>
      <c r="G117" s="282" t="str">
        <f t="shared" si="30"/>
        <v/>
      </c>
      <c r="H117" s="71"/>
      <c r="I117" s="72"/>
      <c r="J117" s="589"/>
      <c r="K117" s="72"/>
      <c r="L117" s="589"/>
      <c r="M117" s="406">
        <f t="shared" si="31"/>
        <v>0</v>
      </c>
      <c r="N117" s="278">
        <f t="shared" si="41"/>
        <v>0</v>
      </c>
      <c r="O117" s="443">
        <f t="shared" si="32"/>
        <v>0</v>
      </c>
      <c r="P117" s="427" t="str">
        <f t="shared" si="36"/>
        <v/>
      </c>
      <c r="Q117" s="129"/>
      <c r="R117" s="333" t="s">
        <v>1350</v>
      </c>
      <c r="S117" s="70"/>
      <c r="T117" s="141"/>
      <c r="U117" s="294" t="str">
        <f t="shared" si="33"/>
        <v/>
      </c>
      <c r="V117" s="318">
        <f t="shared" si="34"/>
        <v>0</v>
      </c>
      <c r="W117" s="71"/>
      <c r="X117" s="72"/>
      <c r="Y117" s="589"/>
      <c r="Z117" s="72"/>
      <c r="AA117" s="589"/>
      <c r="AB117" s="406">
        <f t="shared" si="35"/>
        <v>0</v>
      </c>
      <c r="AC117" s="406">
        <f t="shared" si="37"/>
        <v>0</v>
      </c>
      <c r="AD117" s="443">
        <f t="shared" si="38"/>
        <v>0</v>
      </c>
      <c r="AE117" s="427" t="str">
        <f t="shared" si="39"/>
        <v/>
      </c>
      <c r="AF117" s="432"/>
      <c r="AG117" s="129"/>
      <c r="AH117" s="129"/>
      <c r="AI117" s="129"/>
      <c r="AJ117" s="129"/>
      <c r="AK117" s="129"/>
      <c r="AL117" s="129"/>
      <c r="AM117" s="129"/>
      <c r="AN117" s="129"/>
      <c r="AO117" s="129"/>
      <c r="AP117" s="129"/>
      <c r="AQ117" s="129"/>
      <c r="AR117" s="129"/>
      <c r="AS117" s="129"/>
      <c r="AT117" s="129"/>
      <c r="AU117" s="129"/>
      <c r="AV117" s="129"/>
      <c r="AW117" s="129"/>
    </row>
    <row r="118" spans="1:49" ht="15.75" customHeight="1">
      <c r="A118" s="129"/>
      <c r="B118" s="129"/>
      <c r="C118" s="302">
        <f t="shared" si="40"/>
        <v>15</v>
      </c>
      <c r="D118" s="70"/>
      <c r="E118" s="141"/>
      <c r="F118" s="282" t="str">
        <f t="shared" si="28"/>
        <v/>
      </c>
      <c r="G118" s="282" t="str">
        <f t="shared" si="30"/>
        <v/>
      </c>
      <c r="H118" s="71"/>
      <c r="I118" s="72"/>
      <c r="J118" s="589"/>
      <c r="K118" s="72"/>
      <c r="L118" s="589"/>
      <c r="M118" s="406">
        <f t="shared" si="31"/>
        <v>0</v>
      </c>
      <c r="N118" s="278">
        <f t="shared" si="41"/>
        <v>0</v>
      </c>
      <c r="O118" s="443">
        <f t="shared" si="32"/>
        <v>0</v>
      </c>
      <c r="P118" s="427" t="str">
        <f t="shared" si="36"/>
        <v/>
      </c>
      <c r="Q118" s="129"/>
      <c r="R118" s="333" t="s">
        <v>1350</v>
      </c>
      <c r="S118" s="70"/>
      <c r="T118" s="141"/>
      <c r="U118" s="294" t="str">
        <f t="shared" si="33"/>
        <v/>
      </c>
      <c r="V118" s="318">
        <f t="shared" si="34"/>
        <v>0</v>
      </c>
      <c r="W118" s="71"/>
      <c r="X118" s="72"/>
      <c r="Y118" s="589"/>
      <c r="Z118" s="72"/>
      <c r="AA118" s="589"/>
      <c r="AB118" s="406">
        <f t="shared" si="35"/>
        <v>0</v>
      </c>
      <c r="AC118" s="406">
        <f t="shared" si="37"/>
        <v>0</v>
      </c>
      <c r="AD118" s="443">
        <f t="shared" si="38"/>
        <v>0</v>
      </c>
      <c r="AE118" s="427" t="str">
        <f t="shared" si="39"/>
        <v/>
      </c>
      <c r="AF118" s="432"/>
      <c r="AG118" s="129"/>
      <c r="AH118" s="129"/>
      <c r="AI118" s="129"/>
      <c r="AJ118" s="129"/>
      <c r="AK118" s="129"/>
      <c r="AL118" s="129"/>
      <c r="AM118" s="129"/>
      <c r="AN118" s="129"/>
      <c r="AO118" s="129"/>
      <c r="AP118" s="129"/>
      <c r="AQ118" s="129"/>
      <c r="AR118" s="129"/>
      <c r="AS118" s="129"/>
      <c r="AT118" s="129"/>
      <c r="AU118" s="129"/>
      <c r="AV118" s="129"/>
      <c r="AW118" s="129"/>
    </row>
    <row r="119" spans="1:49" ht="15.75" customHeight="1">
      <c r="A119" s="129"/>
      <c r="B119" s="129"/>
      <c r="C119" s="302">
        <f t="shared" si="40"/>
        <v>16</v>
      </c>
      <c r="D119" s="70"/>
      <c r="E119" s="141"/>
      <c r="F119" s="282" t="str">
        <f t="shared" si="28"/>
        <v/>
      </c>
      <c r="G119" s="282" t="str">
        <f t="shared" si="30"/>
        <v/>
      </c>
      <c r="H119" s="71"/>
      <c r="I119" s="72"/>
      <c r="J119" s="589"/>
      <c r="K119" s="72"/>
      <c r="L119" s="589"/>
      <c r="M119" s="406">
        <f t="shared" si="31"/>
        <v>0</v>
      </c>
      <c r="N119" s="278">
        <f t="shared" si="41"/>
        <v>0</v>
      </c>
      <c r="O119" s="443">
        <f t="shared" si="32"/>
        <v>0</v>
      </c>
      <c r="P119" s="427" t="str">
        <f t="shared" si="36"/>
        <v/>
      </c>
      <c r="Q119" s="129"/>
      <c r="R119" s="333" t="s">
        <v>1350</v>
      </c>
      <c r="S119" s="70"/>
      <c r="T119" s="141"/>
      <c r="U119" s="294" t="str">
        <f t="shared" si="33"/>
        <v/>
      </c>
      <c r="V119" s="318">
        <f t="shared" si="34"/>
        <v>0</v>
      </c>
      <c r="W119" s="71"/>
      <c r="X119" s="72"/>
      <c r="Y119" s="589"/>
      <c r="Z119" s="72"/>
      <c r="AA119" s="589"/>
      <c r="AB119" s="406">
        <f t="shared" si="35"/>
        <v>0</v>
      </c>
      <c r="AC119" s="406">
        <f t="shared" si="37"/>
        <v>0</v>
      </c>
      <c r="AD119" s="443">
        <f t="shared" si="38"/>
        <v>0</v>
      </c>
      <c r="AE119" s="427" t="str">
        <f t="shared" si="39"/>
        <v/>
      </c>
      <c r="AF119" s="432"/>
      <c r="AG119" s="129"/>
      <c r="AH119" s="129"/>
      <c r="AI119" s="129"/>
      <c r="AJ119" s="129"/>
      <c r="AK119" s="129"/>
      <c r="AL119" s="129"/>
      <c r="AM119" s="129"/>
      <c r="AN119" s="129"/>
      <c r="AO119" s="129"/>
      <c r="AP119" s="129"/>
      <c r="AQ119" s="129"/>
      <c r="AR119" s="129"/>
      <c r="AS119" s="129"/>
      <c r="AT119" s="129"/>
      <c r="AU119" s="129"/>
      <c r="AV119" s="129"/>
      <c r="AW119" s="129"/>
    </row>
    <row r="120" spans="1:49" ht="15.75" hidden="1" customHeight="1">
      <c r="A120" s="129"/>
      <c r="B120" s="129"/>
      <c r="C120" s="302">
        <f t="shared" si="40"/>
        <v>17</v>
      </c>
      <c r="D120" s="70"/>
      <c r="E120" s="141"/>
      <c r="F120" s="282" t="str">
        <f t="shared" si="28"/>
        <v/>
      </c>
      <c r="G120" s="282" t="str">
        <f t="shared" si="30"/>
        <v/>
      </c>
      <c r="H120" s="71"/>
      <c r="I120" s="72"/>
      <c r="J120" s="589"/>
      <c r="K120" s="72"/>
      <c r="L120" s="589"/>
      <c r="M120" s="406">
        <f t="shared" si="31"/>
        <v>0</v>
      </c>
      <c r="N120" s="278">
        <f t="shared" si="41"/>
        <v>0</v>
      </c>
      <c r="O120" s="443">
        <f t="shared" si="32"/>
        <v>0</v>
      </c>
      <c r="P120" s="427" t="str">
        <f t="shared" si="36"/>
        <v/>
      </c>
      <c r="Q120" s="129"/>
      <c r="R120" s="333" t="s">
        <v>1350</v>
      </c>
      <c r="S120" s="70"/>
      <c r="T120" s="141"/>
      <c r="U120" s="294" t="str">
        <f t="shared" si="33"/>
        <v/>
      </c>
      <c r="V120" s="318">
        <f t="shared" si="34"/>
        <v>0</v>
      </c>
      <c r="W120" s="71"/>
      <c r="X120" s="72"/>
      <c r="Y120" s="589"/>
      <c r="Z120" s="72"/>
      <c r="AA120" s="589"/>
      <c r="AB120" s="406">
        <f t="shared" si="35"/>
        <v>0</v>
      </c>
      <c r="AC120" s="406">
        <f t="shared" si="37"/>
        <v>0</v>
      </c>
      <c r="AD120" s="443">
        <f t="shared" si="38"/>
        <v>0</v>
      </c>
      <c r="AE120" s="427" t="str">
        <f t="shared" si="39"/>
        <v/>
      </c>
      <c r="AF120" s="432"/>
      <c r="AG120" s="129"/>
      <c r="AH120" s="129"/>
      <c r="AI120" s="129"/>
      <c r="AJ120" s="129"/>
      <c r="AK120" s="129"/>
      <c r="AL120" s="129"/>
      <c r="AM120" s="129"/>
      <c r="AN120" s="129"/>
      <c r="AO120" s="129"/>
      <c r="AP120" s="129"/>
      <c r="AQ120" s="129"/>
      <c r="AR120" s="129"/>
      <c r="AS120" s="129"/>
      <c r="AT120" s="129"/>
      <c r="AU120" s="129"/>
      <c r="AV120" s="129"/>
      <c r="AW120" s="129"/>
    </row>
    <row r="121" spans="1:49" ht="15.75" hidden="1" customHeight="1">
      <c r="A121" s="129"/>
      <c r="B121" s="129"/>
      <c r="C121" s="302">
        <f t="shared" si="40"/>
        <v>18</v>
      </c>
      <c r="D121" s="70"/>
      <c r="E121" s="141"/>
      <c r="F121" s="282" t="str">
        <f t="shared" si="28"/>
        <v/>
      </c>
      <c r="G121" s="282" t="str">
        <f t="shared" si="30"/>
        <v/>
      </c>
      <c r="H121" s="71"/>
      <c r="I121" s="72"/>
      <c r="J121" s="589"/>
      <c r="K121" s="72"/>
      <c r="L121" s="589"/>
      <c r="M121" s="406">
        <f t="shared" si="31"/>
        <v>0</v>
      </c>
      <c r="N121" s="278">
        <f t="shared" si="41"/>
        <v>0</v>
      </c>
      <c r="O121" s="443">
        <f t="shared" si="32"/>
        <v>0</v>
      </c>
      <c r="P121" s="427" t="str">
        <f t="shared" si="36"/>
        <v/>
      </c>
      <c r="Q121" s="129"/>
      <c r="R121" s="333" t="s">
        <v>1350</v>
      </c>
      <c r="S121" s="70"/>
      <c r="T121" s="141"/>
      <c r="U121" s="294" t="str">
        <f t="shared" si="33"/>
        <v/>
      </c>
      <c r="V121" s="318">
        <f t="shared" si="34"/>
        <v>0</v>
      </c>
      <c r="W121" s="71"/>
      <c r="X121" s="72"/>
      <c r="Y121" s="589"/>
      <c r="Z121" s="72"/>
      <c r="AA121" s="589"/>
      <c r="AB121" s="406">
        <f t="shared" si="35"/>
        <v>0</v>
      </c>
      <c r="AC121" s="406">
        <f t="shared" si="37"/>
        <v>0</v>
      </c>
      <c r="AD121" s="443">
        <f t="shared" si="38"/>
        <v>0</v>
      </c>
      <c r="AE121" s="427" t="str">
        <f t="shared" si="39"/>
        <v/>
      </c>
      <c r="AF121" s="432"/>
      <c r="AG121" s="129"/>
      <c r="AH121" s="129"/>
      <c r="AI121" s="129"/>
      <c r="AJ121" s="129"/>
      <c r="AK121" s="129"/>
      <c r="AL121" s="129"/>
      <c r="AM121" s="129"/>
      <c r="AN121" s="129"/>
      <c r="AO121" s="129"/>
      <c r="AP121" s="129"/>
      <c r="AQ121" s="129"/>
      <c r="AR121" s="129"/>
      <c r="AS121" s="129"/>
      <c r="AT121" s="129"/>
      <c r="AU121" s="129"/>
      <c r="AV121" s="129"/>
      <c r="AW121" s="129"/>
    </row>
    <row r="122" spans="1:49" ht="15.75" hidden="1" customHeight="1">
      <c r="A122" s="129"/>
      <c r="B122" s="129"/>
      <c r="C122" s="302">
        <f t="shared" si="40"/>
        <v>19</v>
      </c>
      <c r="D122" s="70"/>
      <c r="E122" s="141"/>
      <c r="F122" s="282" t="str">
        <f t="shared" si="28"/>
        <v/>
      </c>
      <c r="G122" s="282" t="str">
        <f t="shared" si="30"/>
        <v/>
      </c>
      <c r="H122" s="71"/>
      <c r="I122" s="72"/>
      <c r="J122" s="589"/>
      <c r="K122" s="72"/>
      <c r="L122" s="589"/>
      <c r="M122" s="406">
        <f t="shared" si="31"/>
        <v>0</v>
      </c>
      <c r="N122" s="278">
        <f t="shared" si="41"/>
        <v>0</v>
      </c>
      <c r="O122" s="443">
        <f t="shared" si="32"/>
        <v>0</v>
      </c>
      <c r="P122" s="427" t="str">
        <f t="shared" si="36"/>
        <v/>
      </c>
      <c r="Q122" s="129"/>
      <c r="R122" s="333" t="s">
        <v>1350</v>
      </c>
      <c r="S122" s="70"/>
      <c r="T122" s="141"/>
      <c r="U122" s="294" t="str">
        <f t="shared" si="33"/>
        <v/>
      </c>
      <c r="V122" s="318">
        <f t="shared" si="34"/>
        <v>0</v>
      </c>
      <c r="W122" s="71"/>
      <c r="X122" s="72"/>
      <c r="Y122" s="589"/>
      <c r="Z122" s="72"/>
      <c r="AA122" s="589"/>
      <c r="AB122" s="406">
        <f t="shared" si="35"/>
        <v>0</v>
      </c>
      <c r="AC122" s="406">
        <f t="shared" si="37"/>
        <v>0</v>
      </c>
      <c r="AD122" s="443">
        <f t="shared" si="38"/>
        <v>0</v>
      </c>
      <c r="AE122" s="427" t="str">
        <f t="shared" si="39"/>
        <v/>
      </c>
      <c r="AF122" s="432"/>
      <c r="AG122" s="129"/>
      <c r="AH122" s="129"/>
      <c r="AI122" s="129"/>
      <c r="AJ122" s="129"/>
      <c r="AK122" s="129"/>
      <c r="AL122" s="129"/>
      <c r="AM122" s="129"/>
      <c r="AN122" s="129"/>
      <c r="AO122" s="129"/>
      <c r="AP122" s="129"/>
      <c r="AQ122" s="129"/>
      <c r="AR122" s="129"/>
      <c r="AS122" s="129"/>
      <c r="AT122" s="129"/>
      <c r="AU122" s="129"/>
      <c r="AV122" s="129"/>
      <c r="AW122" s="129"/>
    </row>
    <row r="123" spans="1:49" ht="15.75" hidden="1" customHeight="1">
      <c r="A123" s="129"/>
      <c r="B123" s="129"/>
      <c r="C123" s="302">
        <f t="shared" si="40"/>
        <v>20</v>
      </c>
      <c r="D123" s="70"/>
      <c r="E123" s="141"/>
      <c r="F123" s="282" t="str">
        <f t="shared" si="28"/>
        <v/>
      </c>
      <c r="G123" s="282" t="str">
        <f t="shared" si="30"/>
        <v/>
      </c>
      <c r="H123" s="71"/>
      <c r="I123" s="72"/>
      <c r="J123" s="589"/>
      <c r="K123" s="72"/>
      <c r="L123" s="589"/>
      <c r="M123" s="406">
        <f t="shared" si="31"/>
        <v>0</v>
      </c>
      <c r="N123" s="278">
        <f t="shared" si="41"/>
        <v>0</v>
      </c>
      <c r="O123" s="443">
        <f t="shared" si="32"/>
        <v>0</v>
      </c>
      <c r="P123" s="427" t="str">
        <f t="shared" si="36"/>
        <v/>
      </c>
      <c r="Q123" s="129"/>
      <c r="R123" s="333" t="s">
        <v>1350</v>
      </c>
      <c r="S123" s="70"/>
      <c r="T123" s="141"/>
      <c r="U123" s="294" t="str">
        <f t="shared" si="33"/>
        <v/>
      </c>
      <c r="V123" s="318">
        <f t="shared" si="34"/>
        <v>0</v>
      </c>
      <c r="W123" s="71"/>
      <c r="X123" s="72"/>
      <c r="Y123" s="589"/>
      <c r="Z123" s="72"/>
      <c r="AA123" s="589"/>
      <c r="AB123" s="406">
        <f t="shared" si="35"/>
        <v>0</v>
      </c>
      <c r="AC123" s="406">
        <f t="shared" si="37"/>
        <v>0</v>
      </c>
      <c r="AD123" s="443">
        <f t="shared" si="38"/>
        <v>0</v>
      </c>
      <c r="AE123" s="427" t="str">
        <f t="shared" si="39"/>
        <v/>
      </c>
      <c r="AF123" s="432"/>
      <c r="AG123" s="129"/>
      <c r="AH123" s="129"/>
      <c r="AI123" s="129"/>
      <c r="AJ123" s="129"/>
      <c r="AK123" s="129"/>
      <c r="AL123" s="129"/>
      <c r="AM123" s="129"/>
      <c r="AN123" s="129"/>
      <c r="AO123" s="129"/>
      <c r="AP123" s="129"/>
      <c r="AQ123" s="129"/>
      <c r="AR123" s="129"/>
      <c r="AS123" s="129"/>
      <c r="AT123" s="129"/>
      <c r="AU123" s="129"/>
      <c r="AV123" s="129"/>
      <c r="AW123" s="129"/>
    </row>
    <row r="124" spans="1:49" ht="15.75" hidden="1" customHeight="1">
      <c r="A124" s="129"/>
      <c r="B124" s="129"/>
      <c r="C124" s="302">
        <f t="shared" si="40"/>
        <v>21</v>
      </c>
      <c r="D124" s="70"/>
      <c r="E124" s="141"/>
      <c r="F124" s="282" t="str">
        <f t="shared" si="28"/>
        <v/>
      </c>
      <c r="G124" s="282" t="str">
        <f t="shared" si="30"/>
        <v/>
      </c>
      <c r="H124" s="71"/>
      <c r="I124" s="72"/>
      <c r="J124" s="589"/>
      <c r="K124" s="72"/>
      <c r="L124" s="589"/>
      <c r="M124" s="406">
        <f t="shared" si="31"/>
        <v>0</v>
      </c>
      <c r="N124" s="278">
        <f t="shared" si="41"/>
        <v>0</v>
      </c>
      <c r="O124" s="443">
        <f t="shared" si="32"/>
        <v>0</v>
      </c>
      <c r="P124" s="427" t="str">
        <f t="shared" si="36"/>
        <v/>
      </c>
      <c r="Q124" s="129"/>
      <c r="R124" s="333" t="s">
        <v>1350</v>
      </c>
      <c r="S124" s="70"/>
      <c r="T124" s="141"/>
      <c r="U124" s="294" t="str">
        <f t="shared" si="33"/>
        <v/>
      </c>
      <c r="V124" s="318">
        <f t="shared" si="34"/>
        <v>0</v>
      </c>
      <c r="W124" s="71"/>
      <c r="X124" s="72"/>
      <c r="Y124" s="589"/>
      <c r="Z124" s="72"/>
      <c r="AA124" s="589"/>
      <c r="AB124" s="406">
        <f t="shared" si="35"/>
        <v>0</v>
      </c>
      <c r="AC124" s="406">
        <f t="shared" si="37"/>
        <v>0</v>
      </c>
      <c r="AD124" s="443">
        <f t="shared" si="38"/>
        <v>0</v>
      </c>
      <c r="AE124" s="427" t="str">
        <f t="shared" si="39"/>
        <v/>
      </c>
      <c r="AF124" s="432"/>
      <c r="AG124" s="129"/>
      <c r="AH124" s="129"/>
      <c r="AI124" s="129"/>
      <c r="AJ124" s="129"/>
      <c r="AK124" s="129"/>
      <c r="AL124" s="129"/>
      <c r="AM124" s="129"/>
      <c r="AN124" s="129"/>
      <c r="AO124" s="129"/>
      <c r="AP124" s="129"/>
      <c r="AQ124" s="129"/>
      <c r="AR124" s="129"/>
      <c r="AS124" s="129"/>
      <c r="AT124" s="129"/>
      <c r="AU124" s="129"/>
      <c r="AV124" s="129"/>
      <c r="AW124" s="129"/>
    </row>
    <row r="125" spans="1:49" ht="15.75" hidden="1" customHeight="1">
      <c r="A125" s="129"/>
      <c r="B125" s="129"/>
      <c r="C125" s="302">
        <f t="shared" si="40"/>
        <v>22</v>
      </c>
      <c r="D125" s="70"/>
      <c r="E125" s="141"/>
      <c r="F125" s="282" t="str">
        <f t="shared" si="28"/>
        <v/>
      </c>
      <c r="G125" s="282" t="str">
        <f t="shared" si="30"/>
        <v/>
      </c>
      <c r="H125" s="71"/>
      <c r="I125" s="72"/>
      <c r="J125" s="589"/>
      <c r="K125" s="72"/>
      <c r="L125" s="589"/>
      <c r="M125" s="406">
        <f t="shared" si="31"/>
        <v>0</v>
      </c>
      <c r="N125" s="278">
        <f t="shared" si="41"/>
        <v>0</v>
      </c>
      <c r="O125" s="443">
        <f t="shared" si="32"/>
        <v>0</v>
      </c>
      <c r="P125" s="427" t="str">
        <f t="shared" si="36"/>
        <v/>
      </c>
      <c r="Q125" s="129"/>
      <c r="R125" s="333" t="s">
        <v>1350</v>
      </c>
      <c r="S125" s="70"/>
      <c r="T125" s="140"/>
      <c r="U125" s="294" t="str">
        <f t="shared" si="33"/>
        <v/>
      </c>
      <c r="V125" s="318">
        <f t="shared" si="34"/>
        <v>0</v>
      </c>
      <c r="W125" s="71"/>
      <c r="X125" s="72"/>
      <c r="Y125" s="589"/>
      <c r="Z125" s="72"/>
      <c r="AA125" s="589"/>
      <c r="AB125" s="406">
        <f t="shared" si="35"/>
        <v>0</v>
      </c>
      <c r="AC125" s="406">
        <f t="shared" si="37"/>
        <v>0</v>
      </c>
      <c r="AD125" s="443">
        <f t="shared" si="38"/>
        <v>0</v>
      </c>
      <c r="AE125" s="427" t="str">
        <f t="shared" si="39"/>
        <v/>
      </c>
      <c r="AF125" s="432"/>
      <c r="AG125" s="129"/>
      <c r="AH125" s="129"/>
      <c r="AI125" s="129"/>
      <c r="AJ125" s="129"/>
      <c r="AK125" s="129"/>
      <c r="AL125" s="129"/>
      <c r="AM125" s="129"/>
      <c r="AN125" s="129"/>
      <c r="AO125" s="129"/>
      <c r="AP125" s="129"/>
      <c r="AQ125" s="129"/>
      <c r="AR125" s="129"/>
      <c r="AS125" s="129"/>
      <c r="AT125" s="129"/>
      <c r="AU125" s="129"/>
      <c r="AV125" s="129"/>
      <c r="AW125" s="129"/>
    </row>
    <row r="126" spans="1:49" ht="15.75" hidden="1" customHeight="1">
      <c r="A126" s="129"/>
      <c r="B126" s="129"/>
      <c r="C126" s="302">
        <f t="shared" si="40"/>
        <v>23</v>
      </c>
      <c r="D126" s="70"/>
      <c r="E126" s="141"/>
      <c r="F126" s="282" t="str">
        <f t="shared" si="28"/>
        <v/>
      </c>
      <c r="G126" s="282" t="str">
        <f t="shared" si="30"/>
        <v/>
      </c>
      <c r="H126" s="71"/>
      <c r="I126" s="72"/>
      <c r="J126" s="589"/>
      <c r="K126" s="72"/>
      <c r="L126" s="589"/>
      <c r="M126" s="406">
        <f t="shared" si="31"/>
        <v>0</v>
      </c>
      <c r="N126" s="278">
        <f t="shared" si="41"/>
        <v>0</v>
      </c>
      <c r="O126" s="443">
        <f t="shared" si="32"/>
        <v>0</v>
      </c>
      <c r="P126" s="427" t="str">
        <f t="shared" si="36"/>
        <v/>
      </c>
      <c r="Q126" s="129"/>
      <c r="R126" s="333" t="s">
        <v>1350</v>
      </c>
      <c r="S126" s="70"/>
      <c r="T126" s="141"/>
      <c r="U126" s="294" t="str">
        <f t="shared" si="33"/>
        <v/>
      </c>
      <c r="V126" s="318">
        <f t="shared" si="34"/>
        <v>0</v>
      </c>
      <c r="W126" s="71"/>
      <c r="X126" s="72"/>
      <c r="Y126" s="589"/>
      <c r="Z126" s="72"/>
      <c r="AA126" s="589"/>
      <c r="AB126" s="406">
        <f t="shared" si="35"/>
        <v>0</v>
      </c>
      <c r="AC126" s="406">
        <f t="shared" si="37"/>
        <v>0</v>
      </c>
      <c r="AD126" s="443">
        <f t="shared" si="38"/>
        <v>0</v>
      </c>
      <c r="AE126" s="427" t="str">
        <f t="shared" si="39"/>
        <v/>
      </c>
      <c r="AF126" s="432"/>
      <c r="AG126" s="129"/>
      <c r="AH126" s="129"/>
      <c r="AI126" s="129"/>
      <c r="AJ126" s="129"/>
      <c r="AK126" s="129"/>
      <c r="AL126" s="129"/>
      <c r="AM126" s="129"/>
      <c r="AN126" s="129"/>
      <c r="AO126" s="129"/>
      <c r="AP126" s="129"/>
      <c r="AQ126" s="129"/>
      <c r="AR126" s="129"/>
      <c r="AS126" s="129"/>
      <c r="AT126" s="129"/>
      <c r="AU126" s="129"/>
      <c r="AV126" s="129"/>
      <c r="AW126" s="129"/>
    </row>
    <row r="127" spans="1:49" ht="15.75" hidden="1" customHeight="1">
      <c r="A127" s="129"/>
      <c r="B127" s="129"/>
      <c r="C127" s="302">
        <f t="shared" si="40"/>
        <v>24</v>
      </c>
      <c r="D127" s="70"/>
      <c r="E127" s="141"/>
      <c r="F127" s="282" t="str">
        <f t="shared" si="28"/>
        <v/>
      </c>
      <c r="G127" s="282" t="str">
        <f t="shared" si="30"/>
        <v/>
      </c>
      <c r="H127" s="71"/>
      <c r="I127" s="72"/>
      <c r="J127" s="589"/>
      <c r="K127" s="72"/>
      <c r="L127" s="589"/>
      <c r="M127" s="406">
        <f t="shared" si="31"/>
        <v>0</v>
      </c>
      <c r="N127" s="278">
        <f t="shared" si="41"/>
        <v>0</v>
      </c>
      <c r="O127" s="443">
        <f t="shared" si="32"/>
        <v>0</v>
      </c>
      <c r="P127" s="427" t="str">
        <f t="shared" si="36"/>
        <v/>
      </c>
      <c r="Q127" s="129"/>
      <c r="R127" s="333" t="s">
        <v>1350</v>
      </c>
      <c r="S127" s="70"/>
      <c r="T127" s="140"/>
      <c r="U127" s="294" t="str">
        <f t="shared" si="33"/>
        <v/>
      </c>
      <c r="V127" s="318">
        <f t="shared" si="34"/>
        <v>0</v>
      </c>
      <c r="W127" s="71"/>
      <c r="X127" s="72"/>
      <c r="Y127" s="589"/>
      <c r="Z127" s="72"/>
      <c r="AA127" s="589"/>
      <c r="AB127" s="406">
        <f t="shared" si="35"/>
        <v>0</v>
      </c>
      <c r="AC127" s="406">
        <f t="shared" si="37"/>
        <v>0</v>
      </c>
      <c r="AD127" s="443">
        <f t="shared" si="38"/>
        <v>0</v>
      </c>
      <c r="AE127" s="427" t="str">
        <f t="shared" si="39"/>
        <v/>
      </c>
      <c r="AF127" s="432"/>
      <c r="AG127" s="129"/>
      <c r="AH127" s="129"/>
      <c r="AI127" s="129"/>
      <c r="AJ127" s="129"/>
      <c r="AK127" s="129"/>
      <c r="AL127" s="129"/>
      <c r="AM127" s="129"/>
      <c r="AN127" s="129"/>
      <c r="AO127" s="129"/>
      <c r="AP127" s="129"/>
      <c r="AQ127" s="129"/>
      <c r="AR127" s="129"/>
      <c r="AS127" s="129"/>
      <c r="AT127" s="129"/>
      <c r="AU127" s="129"/>
      <c r="AV127" s="129"/>
      <c r="AW127" s="129"/>
    </row>
    <row r="128" spans="1:49" ht="15.75" hidden="1" customHeight="1">
      <c r="A128" s="129"/>
      <c r="B128" s="129"/>
      <c r="C128" s="302">
        <f t="shared" si="40"/>
        <v>25</v>
      </c>
      <c r="D128" s="70"/>
      <c r="E128" s="141"/>
      <c r="F128" s="282" t="str">
        <f t="shared" si="28"/>
        <v/>
      </c>
      <c r="G128" s="282" t="str">
        <f t="shared" si="30"/>
        <v/>
      </c>
      <c r="H128" s="71"/>
      <c r="I128" s="72"/>
      <c r="J128" s="589"/>
      <c r="K128" s="72"/>
      <c r="L128" s="589"/>
      <c r="M128" s="406">
        <f t="shared" si="31"/>
        <v>0</v>
      </c>
      <c r="N128" s="278">
        <f t="shared" si="41"/>
        <v>0</v>
      </c>
      <c r="O128" s="443">
        <f t="shared" si="32"/>
        <v>0</v>
      </c>
      <c r="P128" s="427" t="str">
        <f t="shared" si="36"/>
        <v/>
      </c>
      <c r="Q128" s="129"/>
      <c r="R128" s="333" t="s">
        <v>1350</v>
      </c>
      <c r="S128" s="70"/>
      <c r="T128" s="141"/>
      <c r="U128" s="294" t="str">
        <f t="shared" si="33"/>
        <v/>
      </c>
      <c r="V128" s="318">
        <f t="shared" si="34"/>
        <v>0</v>
      </c>
      <c r="W128" s="71"/>
      <c r="X128" s="72"/>
      <c r="Y128" s="589"/>
      <c r="Z128" s="72"/>
      <c r="AA128" s="589"/>
      <c r="AB128" s="406">
        <f t="shared" si="35"/>
        <v>0</v>
      </c>
      <c r="AC128" s="406">
        <f t="shared" si="37"/>
        <v>0</v>
      </c>
      <c r="AD128" s="443">
        <f t="shared" si="38"/>
        <v>0</v>
      </c>
      <c r="AE128" s="427" t="str">
        <f t="shared" si="39"/>
        <v/>
      </c>
      <c r="AF128" s="432"/>
      <c r="AG128" s="129"/>
      <c r="AH128" s="129"/>
      <c r="AI128" s="129"/>
      <c r="AJ128" s="129"/>
      <c r="AK128" s="129"/>
      <c r="AL128" s="129"/>
      <c r="AM128" s="129"/>
      <c r="AN128" s="129"/>
      <c r="AO128" s="129"/>
      <c r="AP128" s="129"/>
      <c r="AQ128" s="129"/>
      <c r="AR128" s="129"/>
      <c r="AS128" s="129"/>
      <c r="AT128" s="129"/>
      <c r="AU128" s="129"/>
      <c r="AV128" s="129"/>
      <c r="AW128" s="129"/>
    </row>
    <row r="129" spans="1:49" ht="15.75" hidden="1" customHeight="1">
      <c r="A129" s="129"/>
      <c r="B129" s="129"/>
      <c r="C129" s="302">
        <f t="shared" si="40"/>
        <v>26</v>
      </c>
      <c r="D129" s="70"/>
      <c r="E129" s="141"/>
      <c r="F129" s="282" t="str">
        <f t="shared" si="28"/>
        <v/>
      </c>
      <c r="G129" s="282" t="str">
        <f t="shared" si="30"/>
        <v/>
      </c>
      <c r="H129" s="71"/>
      <c r="I129" s="72"/>
      <c r="J129" s="589"/>
      <c r="K129" s="72"/>
      <c r="L129" s="589"/>
      <c r="M129" s="406">
        <f t="shared" si="31"/>
        <v>0</v>
      </c>
      <c r="N129" s="278">
        <f t="shared" si="41"/>
        <v>0</v>
      </c>
      <c r="O129" s="443">
        <f t="shared" si="32"/>
        <v>0</v>
      </c>
      <c r="P129" s="427" t="str">
        <f t="shared" si="36"/>
        <v/>
      </c>
      <c r="Q129" s="129"/>
      <c r="R129" s="333" t="s">
        <v>1350</v>
      </c>
      <c r="S129" s="70"/>
      <c r="T129" s="141"/>
      <c r="U129" s="294" t="str">
        <f t="shared" si="33"/>
        <v/>
      </c>
      <c r="V129" s="318">
        <f t="shared" si="34"/>
        <v>0</v>
      </c>
      <c r="W129" s="71"/>
      <c r="X129" s="72"/>
      <c r="Y129" s="589"/>
      <c r="Z129" s="72"/>
      <c r="AA129" s="589"/>
      <c r="AB129" s="406">
        <f t="shared" si="35"/>
        <v>0</v>
      </c>
      <c r="AC129" s="406">
        <f t="shared" si="37"/>
        <v>0</v>
      </c>
      <c r="AD129" s="443">
        <f t="shared" si="38"/>
        <v>0</v>
      </c>
      <c r="AE129" s="427" t="str">
        <f t="shared" si="39"/>
        <v/>
      </c>
      <c r="AF129" s="432"/>
      <c r="AG129" s="129"/>
      <c r="AH129" s="129"/>
      <c r="AI129" s="129"/>
      <c r="AJ129" s="129"/>
      <c r="AK129" s="129"/>
      <c r="AL129" s="129"/>
      <c r="AM129" s="129"/>
      <c r="AN129" s="129"/>
      <c r="AO129" s="129"/>
      <c r="AP129" s="129"/>
      <c r="AQ129" s="129"/>
      <c r="AR129" s="129"/>
      <c r="AS129" s="129"/>
      <c r="AT129" s="129"/>
      <c r="AU129" s="129"/>
      <c r="AV129" s="129"/>
      <c r="AW129" s="129"/>
    </row>
    <row r="130" spans="1:49" ht="15.75" hidden="1" customHeight="1">
      <c r="A130" s="129"/>
      <c r="B130" s="129"/>
      <c r="C130" s="302">
        <f t="shared" si="40"/>
        <v>27</v>
      </c>
      <c r="D130" s="70"/>
      <c r="E130" s="141"/>
      <c r="F130" s="282" t="str">
        <f t="shared" si="28"/>
        <v/>
      </c>
      <c r="G130" s="282" t="str">
        <f t="shared" si="30"/>
        <v/>
      </c>
      <c r="H130" s="71"/>
      <c r="I130" s="72"/>
      <c r="J130" s="589"/>
      <c r="K130" s="72"/>
      <c r="L130" s="589"/>
      <c r="M130" s="406">
        <f t="shared" si="31"/>
        <v>0</v>
      </c>
      <c r="N130" s="278">
        <f t="shared" si="41"/>
        <v>0</v>
      </c>
      <c r="O130" s="443">
        <f t="shared" si="32"/>
        <v>0</v>
      </c>
      <c r="P130" s="427" t="str">
        <f t="shared" si="36"/>
        <v/>
      </c>
      <c r="Q130" s="129"/>
      <c r="R130" s="333" t="s">
        <v>1350</v>
      </c>
      <c r="S130" s="70"/>
      <c r="T130" s="141"/>
      <c r="U130" s="294" t="str">
        <f t="shared" si="33"/>
        <v/>
      </c>
      <c r="V130" s="318">
        <f t="shared" si="34"/>
        <v>0</v>
      </c>
      <c r="W130" s="71"/>
      <c r="X130" s="72"/>
      <c r="Y130" s="589"/>
      <c r="Z130" s="72"/>
      <c r="AA130" s="589"/>
      <c r="AB130" s="406">
        <f t="shared" si="35"/>
        <v>0</v>
      </c>
      <c r="AC130" s="406">
        <f t="shared" si="37"/>
        <v>0</v>
      </c>
      <c r="AD130" s="443">
        <f t="shared" si="38"/>
        <v>0</v>
      </c>
      <c r="AE130" s="427" t="str">
        <f t="shared" si="39"/>
        <v/>
      </c>
      <c r="AF130" s="432"/>
      <c r="AG130" s="129"/>
      <c r="AH130" s="129"/>
      <c r="AI130" s="129"/>
      <c r="AJ130" s="129"/>
      <c r="AK130" s="129"/>
      <c r="AL130" s="129"/>
      <c r="AM130" s="129"/>
      <c r="AN130" s="129"/>
      <c r="AO130" s="129"/>
      <c r="AP130" s="129"/>
      <c r="AQ130" s="129"/>
      <c r="AR130" s="129"/>
      <c r="AS130" s="129"/>
      <c r="AT130" s="129"/>
      <c r="AU130" s="129"/>
      <c r="AV130" s="129"/>
      <c r="AW130" s="129"/>
    </row>
    <row r="131" spans="1:49" ht="15.75" hidden="1" customHeight="1">
      <c r="A131" s="129"/>
      <c r="B131" s="129"/>
      <c r="C131" s="302">
        <f t="shared" si="40"/>
        <v>28</v>
      </c>
      <c r="D131" s="70"/>
      <c r="E131" s="141"/>
      <c r="F131" s="282" t="str">
        <f t="shared" si="28"/>
        <v/>
      </c>
      <c r="G131" s="282" t="str">
        <f t="shared" si="30"/>
        <v/>
      </c>
      <c r="H131" s="71"/>
      <c r="I131" s="72"/>
      <c r="J131" s="589"/>
      <c r="K131" s="72"/>
      <c r="L131" s="589"/>
      <c r="M131" s="406">
        <f t="shared" si="31"/>
        <v>0</v>
      </c>
      <c r="N131" s="278">
        <f t="shared" si="41"/>
        <v>0</v>
      </c>
      <c r="O131" s="443">
        <f t="shared" si="32"/>
        <v>0</v>
      </c>
      <c r="P131" s="427" t="str">
        <f t="shared" si="36"/>
        <v/>
      </c>
      <c r="Q131" s="129"/>
      <c r="R131" s="333" t="s">
        <v>1350</v>
      </c>
      <c r="S131" s="70"/>
      <c r="T131" s="141"/>
      <c r="U131" s="294" t="str">
        <f t="shared" si="33"/>
        <v/>
      </c>
      <c r="V131" s="318">
        <f t="shared" si="34"/>
        <v>0</v>
      </c>
      <c r="W131" s="71"/>
      <c r="X131" s="72"/>
      <c r="Y131" s="589"/>
      <c r="Z131" s="72"/>
      <c r="AA131" s="589"/>
      <c r="AB131" s="406">
        <f t="shared" si="35"/>
        <v>0</v>
      </c>
      <c r="AC131" s="406">
        <f t="shared" si="37"/>
        <v>0</v>
      </c>
      <c r="AD131" s="443">
        <f t="shared" si="38"/>
        <v>0</v>
      </c>
      <c r="AE131" s="427" t="str">
        <f t="shared" si="39"/>
        <v/>
      </c>
      <c r="AF131" s="432"/>
      <c r="AG131" s="129"/>
      <c r="AH131" s="129"/>
      <c r="AI131" s="129"/>
      <c r="AJ131" s="129"/>
      <c r="AK131" s="129"/>
      <c r="AL131" s="129"/>
      <c r="AM131" s="129"/>
      <c r="AN131" s="129"/>
      <c r="AO131" s="129"/>
      <c r="AP131" s="129"/>
      <c r="AQ131" s="129"/>
      <c r="AR131" s="129"/>
      <c r="AS131" s="129"/>
      <c r="AT131" s="129"/>
      <c r="AU131" s="129"/>
      <c r="AV131" s="129"/>
      <c r="AW131" s="129"/>
    </row>
    <row r="132" spans="1:49" ht="15.75" hidden="1" customHeight="1">
      <c r="A132" s="129"/>
      <c r="B132" s="129"/>
      <c r="C132" s="302">
        <f t="shared" si="40"/>
        <v>29</v>
      </c>
      <c r="D132" s="70"/>
      <c r="E132" s="141"/>
      <c r="F132" s="282" t="str">
        <f t="shared" si="28"/>
        <v/>
      </c>
      <c r="G132" s="282" t="str">
        <f t="shared" si="30"/>
        <v/>
      </c>
      <c r="H132" s="71"/>
      <c r="I132" s="72"/>
      <c r="J132" s="589"/>
      <c r="K132" s="72"/>
      <c r="L132" s="589"/>
      <c r="M132" s="406">
        <f t="shared" si="31"/>
        <v>0</v>
      </c>
      <c r="N132" s="278">
        <f t="shared" si="41"/>
        <v>0</v>
      </c>
      <c r="O132" s="443">
        <f t="shared" si="32"/>
        <v>0</v>
      </c>
      <c r="P132" s="427" t="str">
        <f t="shared" si="36"/>
        <v/>
      </c>
      <c r="Q132" s="129"/>
      <c r="R132" s="333" t="s">
        <v>1350</v>
      </c>
      <c r="S132" s="70"/>
      <c r="T132" s="140"/>
      <c r="U132" s="294" t="str">
        <f t="shared" si="33"/>
        <v/>
      </c>
      <c r="V132" s="318">
        <f t="shared" si="34"/>
        <v>0</v>
      </c>
      <c r="W132" s="71"/>
      <c r="X132" s="72"/>
      <c r="Y132" s="589"/>
      <c r="Z132" s="72"/>
      <c r="AA132" s="589"/>
      <c r="AB132" s="406">
        <f t="shared" si="35"/>
        <v>0</v>
      </c>
      <c r="AC132" s="406">
        <f t="shared" si="37"/>
        <v>0</v>
      </c>
      <c r="AD132" s="443">
        <f t="shared" si="38"/>
        <v>0</v>
      </c>
      <c r="AE132" s="427" t="str">
        <f t="shared" si="39"/>
        <v/>
      </c>
      <c r="AF132" s="432"/>
      <c r="AG132" s="129"/>
      <c r="AH132" s="129"/>
      <c r="AI132" s="129"/>
      <c r="AJ132" s="129"/>
      <c r="AK132" s="129"/>
      <c r="AL132" s="129"/>
      <c r="AM132" s="129"/>
      <c r="AN132" s="129"/>
      <c r="AO132" s="129"/>
      <c r="AP132" s="129"/>
      <c r="AQ132" s="129"/>
      <c r="AR132" s="129"/>
      <c r="AS132" s="129"/>
      <c r="AT132" s="129"/>
      <c r="AU132" s="129"/>
      <c r="AV132" s="129"/>
      <c r="AW132" s="129"/>
    </row>
    <row r="133" spans="1:49" ht="15.75" hidden="1" customHeight="1">
      <c r="A133" s="129"/>
      <c r="B133" s="129"/>
      <c r="C133" s="302">
        <f t="shared" si="40"/>
        <v>30</v>
      </c>
      <c r="D133" s="70"/>
      <c r="E133" s="141"/>
      <c r="F133" s="282" t="str">
        <f t="shared" si="28"/>
        <v/>
      </c>
      <c r="G133" s="282" t="str">
        <f t="shared" si="30"/>
        <v/>
      </c>
      <c r="H133" s="71"/>
      <c r="I133" s="72"/>
      <c r="J133" s="589"/>
      <c r="K133" s="72"/>
      <c r="L133" s="589"/>
      <c r="M133" s="406">
        <f t="shared" si="31"/>
        <v>0</v>
      </c>
      <c r="N133" s="278">
        <f t="shared" si="41"/>
        <v>0</v>
      </c>
      <c r="O133" s="443">
        <f t="shared" si="32"/>
        <v>0</v>
      </c>
      <c r="P133" s="427" t="str">
        <f t="shared" si="36"/>
        <v/>
      </c>
      <c r="Q133" s="129"/>
      <c r="R133" s="333" t="s">
        <v>1350</v>
      </c>
      <c r="S133" s="70"/>
      <c r="T133" s="140"/>
      <c r="U133" s="294" t="str">
        <f t="shared" si="33"/>
        <v/>
      </c>
      <c r="V133" s="318">
        <f t="shared" si="34"/>
        <v>0</v>
      </c>
      <c r="W133" s="71"/>
      <c r="X133" s="72"/>
      <c r="Y133" s="589"/>
      <c r="Z133" s="72"/>
      <c r="AA133" s="589"/>
      <c r="AB133" s="406">
        <f t="shared" si="35"/>
        <v>0</v>
      </c>
      <c r="AC133" s="406">
        <f t="shared" si="37"/>
        <v>0</v>
      </c>
      <c r="AD133" s="443">
        <f t="shared" si="38"/>
        <v>0</v>
      </c>
      <c r="AE133" s="427" t="str">
        <f t="shared" si="39"/>
        <v/>
      </c>
      <c r="AF133" s="432"/>
      <c r="AG133" s="129"/>
      <c r="AH133" s="129"/>
      <c r="AI133" s="129"/>
      <c r="AJ133" s="129"/>
      <c r="AK133" s="129"/>
      <c r="AL133" s="129"/>
      <c r="AM133" s="129"/>
      <c r="AN133" s="129"/>
      <c r="AO133" s="129"/>
      <c r="AP133" s="129"/>
      <c r="AQ133" s="129"/>
      <c r="AR133" s="129"/>
      <c r="AS133" s="129"/>
      <c r="AT133" s="129"/>
      <c r="AU133" s="129"/>
      <c r="AV133" s="129"/>
      <c r="AW133" s="129"/>
    </row>
    <row r="134" spans="1:49" ht="15.75" hidden="1" customHeight="1">
      <c r="A134" s="129"/>
      <c r="B134" s="129"/>
      <c r="C134" s="302">
        <f t="shared" si="40"/>
        <v>31</v>
      </c>
      <c r="D134" s="70"/>
      <c r="E134" s="141"/>
      <c r="F134" s="282" t="str">
        <f t="shared" si="28"/>
        <v/>
      </c>
      <c r="G134" s="282" t="str">
        <f t="shared" si="30"/>
        <v/>
      </c>
      <c r="H134" s="71"/>
      <c r="I134" s="72"/>
      <c r="J134" s="589"/>
      <c r="K134" s="72"/>
      <c r="L134" s="589"/>
      <c r="M134" s="406">
        <f t="shared" si="31"/>
        <v>0</v>
      </c>
      <c r="N134" s="278">
        <f t="shared" si="41"/>
        <v>0</v>
      </c>
      <c r="O134" s="443">
        <f t="shared" si="32"/>
        <v>0</v>
      </c>
      <c r="P134" s="427" t="str">
        <f t="shared" si="36"/>
        <v/>
      </c>
      <c r="Q134" s="129"/>
      <c r="R134" s="333" t="s">
        <v>1350</v>
      </c>
      <c r="S134" s="70"/>
      <c r="T134" s="140"/>
      <c r="U134" s="294" t="str">
        <f t="shared" si="33"/>
        <v/>
      </c>
      <c r="V134" s="318">
        <f t="shared" si="34"/>
        <v>0</v>
      </c>
      <c r="W134" s="71"/>
      <c r="X134" s="72"/>
      <c r="Y134" s="589"/>
      <c r="Z134" s="72"/>
      <c r="AA134" s="589"/>
      <c r="AB134" s="406">
        <f t="shared" si="35"/>
        <v>0</v>
      </c>
      <c r="AC134" s="406">
        <f t="shared" si="37"/>
        <v>0</v>
      </c>
      <c r="AD134" s="443">
        <f t="shared" si="38"/>
        <v>0</v>
      </c>
      <c r="AE134" s="427" t="str">
        <f t="shared" si="39"/>
        <v/>
      </c>
      <c r="AF134" s="432"/>
      <c r="AG134" s="129"/>
      <c r="AH134" s="129"/>
      <c r="AI134" s="129"/>
      <c r="AJ134" s="129"/>
      <c r="AK134" s="129"/>
      <c r="AL134" s="129"/>
      <c r="AM134" s="129"/>
      <c r="AN134" s="129"/>
      <c r="AO134" s="129"/>
      <c r="AP134" s="129"/>
      <c r="AQ134" s="129"/>
      <c r="AR134" s="129"/>
      <c r="AS134" s="129"/>
      <c r="AT134" s="129"/>
      <c r="AU134" s="129"/>
      <c r="AV134" s="129"/>
      <c r="AW134" s="129"/>
    </row>
    <row r="135" spans="1:49" ht="15.75" hidden="1" customHeight="1">
      <c r="A135" s="129"/>
      <c r="B135" s="129"/>
      <c r="C135" s="302">
        <f t="shared" si="40"/>
        <v>32</v>
      </c>
      <c r="D135" s="70"/>
      <c r="E135" s="141"/>
      <c r="F135" s="282" t="str">
        <f t="shared" si="28"/>
        <v/>
      </c>
      <c r="G135" s="282" t="str">
        <f t="shared" si="30"/>
        <v/>
      </c>
      <c r="H135" s="71"/>
      <c r="I135" s="72"/>
      <c r="J135" s="589"/>
      <c r="K135" s="72"/>
      <c r="L135" s="589"/>
      <c r="M135" s="406">
        <f t="shared" si="31"/>
        <v>0</v>
      </c>
      <c r="N135" s="278">
        <f t="shared" si="41"/>
        <v>0</v>
      </c>
      <c r="O135" s="443">
        <f t="shared" si="32"/>
        <v>0</v>
      </c>
      <c r="P135" s="427" t="str">
        <f t="shared" si="36"/>
        <v/>
      </c>
      <c r="Q135" s="129"/>
      <c r="R135" s="333" t="s">
        <v>1350</v>
      </c>
      <c r="S135" s="70"/>
      <c r="T135" s="140"/>
      <c r="U135" s="294" t="str">
        <f t="shared" si="33"/>
        <v/>
      </c>
      <c r="V135" s="318">
        <f t="shared" si="34"/>
        <v>0</v>
      </c>
      <c r="W135" s="71"/>
      <c r="X135" s="72"/>
      <c r="Y135" s="589"/>
      <c r="Z135" s="72"/>
      <c r="AA135" s="589"/>
      <c r="AB135" s="406">
        <f t="shared" si="35"/>
        <v>0</v>
      </c>
      <c r="AC135" s="406">
        <f t="shared" si="37"/>
        <v>0</v>
      </c>
      <c r="AD135" s="443">
        <f t="shared" si="38"/>
        <v>0</v>
      </c>
      <c r="AE135" s="427" t="str">
        <f t="shared" si="39"/>
        <v/>
      </c>
      <c r="AF135" s="432"/>
      <c r="AG135" s="129"/>
      <c r="AH135" s="129"/>
      <c r="AI135" s="129"/>
      <c r="AJ135" s="129"/>
      <c r="AK135" s="129"/>
      <c r="AL135" s="129"/>
      <c r="AM135" s="129"/>
      <c r="AN135" s="129"/>
      <c r="AO135" s="129"/>
      <c r="AP135" s="129"/>
      <c r="AQ135" s="129"/>
      <c r="AR135" s="129"/>
      <c r="AS135" s="129"/>
      <c r="AT135" s="129"/>
      <c r="AU135" s="129"/>
      <c r="AV135" s="129"/>
      <c r="AW135" s="129"/>
    </row>
    <row r="136" spans="1:49" ht="15.75" hidden="1" customHeight="1">
      <c r="A136" s="129"/>
      <c r="B136" s="129"/>
      <c r="C136" s="302">
        <f t="shared" si="40"/>
        <v>33</v>
      </c>
      <c r="D136" s="70"/>
      <c r="E136" s="141"/>
      <c r="F136" s="282" t="str">
        <f t="shared" si="28"/>
        <v/>
      </c>
      <c r="G136" s="282" t="str">
        <f t="shared" ref="G136:G163" si="42">IFERROR(VLOOKUP($E136,Table_VerticalGlazing,3,FALSE),"")</f>
        <v/>
      </c>
      <c r="H136" s="71"/>
      <c r="I136" s="72"/>
      <c r="J136" s="589"/>
      <c r="K136" s="72"/>
      <c r="L136" s="589"/>
      <c r="M136" s="406">
        <f t="shared" si="31"/>
        <v>0</v>
      </c>
      <c r="N136" s="278">
        <f t="shared" si="41"/>
        <v>0</v>
      </c>
      <c r="O136" s="443">
        <f t="shared" si="32"/>
        <v>0</v>
      </c>
      <c r="P136" s="427" t="str">
        <f t="shared" si="36"/>
        <v/>
      </c>
      <c r="Q136" s="129"/>
      <c r="R136" s="333" t="s">
        <v>1350</v>
      </c>
      <c r="S136" s="70"/>
      <c r="T136" s="140"/>
      <c r="U136" s="294" t="str">
        <f t="shared" ref="U136:U163" si="43">IFERROR(VLOOKUP($T136,Table_VerticalGlazing,2,FALSE),"")</f>
        <v/>
      </c>
      <c r="V136" s="318">
        <f t="shared" ref="V136:V163" si="44">IFERROR(VLOOKUP(T136,Table_VerticalGlazing,3,FALSE),0)</f>
        <v>0</v>
      </c>
      <c r="W136" s="71"/>
      <c r="X136" s="72"/>
      <c r="Y136" s="589"/>
      <c r="Z136" s="72"/>
      <c r="AA136" s="589"/>
      <c r="AB136" s="406">
        <f t="shared" si="35"/>
        <v>0</v>
      </c>
      <c r="AC136" s="406">
        <f t="shared" si="37"/>
        <v>0</v>
      </c>
      <c r="AD136" s="443">
        <f t="shared" si="38"/>
        <v>0</v>
      </c>
      <c r="AE136" s="427" t="str">
        <f t="shared" si="39"/>
        <v/>
      </c>
      <c r="AF136" s="432"/>
      <c r="AG136" s="129"/>
      <c r="AH136" s="129"/>
      <c r="AI136" s="129"/>
      <c r="AJ136" s="129"/>
      <c r="AK136" s="129"/>
      <c r="AL136" s="129"/>
      <c r="AM136" s="129"/>
      <c r="AN136" s="129"/>
      <c r="AO136" s="129"/>
      <c r="AP136" s="129"/>
      <c r="AQ136" s="129"/>
      <c r="AR136" s="129"/>
      <c r="AS136" s="129"/>
      <c r="AT136" s="129"/>
      <c r="AU136" s="129"/>
      <c r="AV136" s="129"/>
      <c r="AW136" s="129"/>
    </row>
    <row r="137" spans="1:49" ht="15.75" hidden="1" customHeight="1">
      <c r="A137" s="129"/>
      <c r="B137" s="129"/>
      <c r="C137" s="302">
        <f t="shared" si="40"/>
        <v>34</v>
      </c>
      <c r="D137" s="70"/>
      <c r="E137" s="141"/>
      <c r="F137" s="282" t="str">
        <f t="shared" si="28"/>
        <v/>
      </c>
      <c r="G137" s="282" t="str">
        <f t="shared" si="42"/>
        <v/>
      </c>
      <c r="H137" s="71"/>
      <c r="I137" s="72"/>
      <c r="J137" s="589"/>
      <c r="K137" s="72"/>
      <c r="L137" s="589"/>
      <c r="M137" s="406">
        <f t="shared" si="31"/>
        <v>0</v>
      </c>
      <c r="N137" s="278">
        <f t="shared" si="41"/>
        <v>0</v>
      </c>
      <c r="O137" s="443">
        <f t="shared" si="32"/>
        <v>0</v>
      </c>
      <c r="P137" s="427" t="str">
        <f t="shared" si="36"/>
        <v/>
      </c>
      <c r="Q137" s="129"/>
      <c r="R137" s="333" t="s">
        <v>1350</v>
      </c>
      <c r="S137" s="70"/>
      <c r="T137" s="140"/>
      <c r="U137" s="294" t="str">
        <f t="shared" si="43"/>
        <v/>
      </c>
      <c r="V137" s="318">
        <f t="shared" si="44"/>
        <v>0</v>
      </c>
      <c r="W137" s="71"/>
      <c r="X137" s="72"/>
      <c r="Y137" s="589"/>
      <c r="Z137" s="72"/>
      <c r="AA137" s="589"/>
      <c r="AB137" s="406">
        <f t="shared" si="35"/>
        <v>0</v>
      </c>
      <c r="AC137" s="406">
        <f t="shared" si="37"/>
        <v>0</v>
      </c>
      <c r="AD137" s="443">
        <f t="shared" si="38"/>
        <v>0</v>
      </c>
      <c r="AE137" s="427" t="str">
        <f t="shared" si="39"/>
        <v/>
      </c>
      <c r="AF137" s="432"/>
      <c r="AG137" s="129"/>
      <c r="AH137" s="129"/>
      <c r="AI137" s="129"/>
      <c r="AJ137" s="129"/>
      <c r="AK137" s="129"/>
      <c r="AL137" s="129"/>
      <c r="AM137" s="129"/>
      <c r="AN137" s="129"/>
      <c r="AO137" s="129"/>
      <c r="AP137" s="129"/>
      <c r="AQ137" s="129"/>
      <c r="AR137" s="129"/>
      <c r="AS137" s="129"/>
      <c r="AT137" s="129"/>
      <c r="AU137" s="129"/>
      <c r="AV137" s="129"/>
      <c r="AW137" s="129"/>
    </row>
    <row r="138" spans="1:49" ht="15.75" hidden="1" customHeight="1">
      <c r="A138" s="129"/>
      <c r="B138" s="129"/>
      <c r="C138" s="302">
        <f t="shared" si="40"/>
        <v>35</v>
      </c>
      <c r="D138" s="70"/>
      <c r="E138" s="141"/>
      <c r="F138" s="282" t="str">
        <f t="shared" si="28"/>
        <v/>
      </c>
      <c r="G138" s="282" t="str">
        <f t="shared" si="42"/>
        <v/>
      </c>
      <c r="H138" s="71"/>
      <c r="I138" s="72"/>
      <c r="J138" s="589"/>
      <c r="K138" s="72"/>
      <c r="L138" s="589"/>
      <c r="M138" s="406">
        <f t="shared" si="31"/>
        <v>0</v>
      </c>
      <c r="N138" s="278">
        <f t="shared" si="41"/>
        <v>0</v>
      </c>
      <c r="O138" s="443">
        <f t="shared" si="32"/>
        <v>0</v>
      </c>
      <c r="P138" s="427" t="str">
        <f t="shared" si="36"/>
        <v/>
      </c>
      <c r="Q138" s="129"/>
      <c r="R138" s="333" t="s">
        <v>1350</v>
      </c>
      <c r="S138" s="70"/>
      <c r="T138" s="140"/>
      <c r="U138" s="294" t="str">
        <f t="shared" si="43"/>
        <v/>
      </c>
      <c r="V138" s="318">
        <f t="shared" si="44"/>
        <v>0</v>
      </c>
      <c r="W138" s="71"/>
      <c r="X138" s="72"/>
      <c r="Y138" s="589"/>
      <c r="Z138" s="72"/>
      <c r="AA138" s="589"/>
      <c r="AB138" s="406">
        <f t="shared" si="35"/>
        <v>0</v>
      </c>
      <c r="AC138" s="406">
        <f t="shared" si="37"/>
        <v>0</v>
      </c>
      <c r="AD138" s="443">
        <f t="shared" si="38"/>
        <v>0</v>
      </c>
      <c r="AE138" s="427" t="str">
        <f t="shared" si="39"/>
        <v/>
      </c>
      <c r="AF138" s="432"/>
      <c r="AG138" s="129"/>
      <c r="AH138" s="129"/>
      <c r="AI138" s="129"/>
      <c r="AJ138" s="129"/>
      <c r="AK138" s="129"/>
      <c r="AL138" s="129"/>
      <c r="AM138" s="129"/>
      <c r="AN138" s="129"/>
      <c r="AO138" s="129"/>
      <c r="AP138" s="129"/>
      <c r="AQ138" s="129"/>
      <c r="AR138" s="129"/>
      <c r="AS138" s="129"/>
      <c r="AT138" s="129"/>
      <c r="AU138" s="129"/>
      <c r="AV138" s="129"/>
      <c r="AW138" s="129"/>
    </row>
    <row r="139" spans="1:49" ht="15.75" hidden="1" customHeight="1">
      <c r="A139" s="129"/>
      <c r="B139" s="129"/>
      <c r="C139" s="302">
        <f t="shared" si="40"/>
        <v>36</v>
      </c>
      <c r="D139" s="70"/>
      <c r="E139" s="141"/>
      <c r="F139" s="282" t="str">
        <f t="shared" si="28"/>
        <v/>
      </c>
      <c r="G139" s="282" t="str">
        <f t="shared" si="42"/>
        <v/>
      </c>
      <c r="H139" s="71"/>
      <c r="I139" s="72"/>
      <c r="J139" s="589"/>
      <c r="K139" s="72"/>
      <c r="L139" s="589"/>
      <c r="M139" s="406">
        <f t="shared" si="31"/>
        <v>0</v>
      </c>
      <c r="N139" s="278">
        <f t="shared" si="41"/>
        <v>0</v>
      </c>
      <c r="O139" s="443">
        <f t="shared" si="32"/>
        <v>0</v>
      </c>
      <c r="P139" s="427" t="str">
        <f t="shared" si="36"/>
        <v/>
      </c>
      <c r="Q139" s="129"/>
      <c r="R139" s="333" t="s">
        <v>1350</v>
      </c>
      <c r="S139" s="70"/>
      <c r="T139" s="140"/>
      <c r="U139" s="294" t="str">
        <f t="shared" si="43"/>
        <v/>
      </c>
      <c r="V139" s="318">
        <f t="shared" si="44"/>
        <v>0</v>
      </c>
      <c r="W139" s="71"/>
      <c r="X139" s="72"/>
      <c r="Y139" s="589"/>
      <c r="Z139" s="72"/>
      <c r="AA139" s="589"/>
      <c r="AB139" s="406">
        <f t="shared" si="35"/>
        <v>0</v>
      </c>
      <c r="AC139" s="406">
        <f t="shared" si="37"/>
        <v>0</v>
      </c>
      <c r="AD139" s="443">
        <f t="shared" si="38"/>
        <v>0</v>
      </c>
      <c r="AE139" s="427" t="str">
        <f t="shared" si="39"/>
        <v/>
      </c>
      <c r="AF139" s="432"/>
      <c r="AG139" s="129"/>
      <c r="AH139" s="129"/>
      <c r="AI139" s="129"/>
      <c r="AJ139" s="129"/>
      <c r="AK139" s="129"/>
      <c r="AL139" s="129"/>
      <c r="AM139" s="129"/>
      <c r="AN139" s="129"/>
      <c r="AO139" s="129"/>
      <c r="AP139" s="129"/>
      <c r="AQ139" s="129"/>
      <c r="AR139" s="129"/>
      <c r="AS139" s="129"/>
      <c r="AT139" s="129"/>
      <c r="AU139" s="129"/>
      <c r="AV139" s="129"/>
      <c r="AW139" s="129"/>
    </row>
    <row r="140" spans="1:49" ht="15.75" hidden="1" customHeight="1">
      <c r="A140" s="129"/>
      <c r="B140" s="129"/>
      <c r="C140" s="302">
        <f t="shared" si="40"/>
        <v>37</v>
      </c>
      <c r="D140" s="70"/>
      <c r="E140" s="141"/>
      <c r="F140" s="282" t="str">
        <f t="shared" si="28"/>
        <v/>
      </c>
      <c r="G140" s="282" t="str">
        <f t="shared" si="42"/>
        <v/>
      </c>
      <c r="H140" s="71"/>
      <c r="I140" s="72"/>
      <c r="J140" s="589"/>
      <c r="K140" s="72"/>
      <c r="L140" s="589"/>
      <c r="M140" s="406">
        <f t="shared" si="31"/>
        <v>0</v>
      </c>
      <c r="N140" s="278">
        <f t="shared" ref="N140:N163" si="45">IFERROR(G140*M140,0)</f>
        <v>0</v>
      </c>
      <c r="O140" s="443">
        <f t="shared" si="32"/>
        <v>0</v>
      </c>
      <c r="P140" s="427" t="str">
        <f t="shared" si="36"/>
        <v/>
      </c>
      <c r="Q140" s="129"/>
      <c r="R140" s="333" t="s">
        <v>1350</v>
      </c>
      <c r="S140" s="70"/>
      <c r="T140" s="140"/>
      <c r="U140" s="294" t="str">
        <f t="shared" si="43"/>
        <v/>
      </c>
      <c r="V140" s="318">
        <f t="shared" si="44"/>
        <v>0</v>
      </c>
      <c r="W140" s="71"/>
      <c r="X140" s="72"/>
      <c r="Y140" s="589"/>
      <c r="Z140" s="72"/>
      <c r="AA140" s="589"/>
      <c r="AB140" s="406">
        <f t="shared" si="35"/>
        <v>0</v>
      </c>
      <c r="AC140" s="406">
        <f t="shared" si="37"/>
        <v>0</v>
      </c>
      <c r="AD140" s="443">
        <f t="shared" si="38"/>
        <v>0</v>
      </c>
      <c r="AE140" s="427" t="str">
        <f t="shared" si="39"/>
        <v/>
      </c>
      <c r="AF140" s="432"/>
      <c r="AG140" s="129"/>
      <c r="AH140" s="129"/>
      <c r="AI140" s="129"/>
      <c r="AJ140" s="129"/>
      <c r="AK140" s="129"/>
      <c r="AL140" s="129"/>
      <c r="AM140" s="129"/>
      <c r="AN140" s="129"/>
      <c r="AO140" s="129"/>
      <c r="AP140" s="129"/>
      <c r="AQ140" s="129"/>
      <c r="AR140" s="129"/>
      <c r="AS140" s="129"/>
      <c r="AT140" s="129"/>
      <c r="AU140" s="129"/>
      <c r="AV140" s="129"/>
      <c r="AW140" s="129"/>
    </row>
    <row r="141" spans="1:49" ht="15.75" hidden="1" customHeight="1">
      <c r="A141" s="129"/>
      <c r="B141" s="129"/>
      <c r="C141" s="302">
        <f t="shared" si="40"/>
        <v>38</v>
      </c>
      <c r="D141" s="70"/>
      <c r="E141" s="141"/>
      <c r="F141" s="282" t="str">
        <f t="shared" si="28"/>
        <v/>
      </c>
      <c r="G141" s="282" t="str">
        <f t="shared" si="42"/>
        <v/>
      </c>
      <c r="H141" s="71"/>
      <c r="I141" s="72"/>
      <c r="J141" s="589"/>
      <c r="K141" s="72"/>
      <c r="L141" s="589"/>
      <c r="M141" s="406">
        <f t="shared" si="31"/>
        <v>0</v>
      </c>
      <c r="N141" s="278">
        <f t="shared" si="45"/>
        <v>0</v>
      </c>
      <c r="O141" s="443">
        <f t="shared" si="32"/>
        <v>0</v>
      </c>
      <c r="P141" s="427" t="str">
        <f t="shared" si="36"/>
        <v/>
      </c>
      <c r="Q141" s="129"/>
      <c r="R141" s="333" t="s">
        <v>1350</v>
      </c>
      <c r="S141" s="70"/>
      <c r="T141" s="140"/>
      <c r="U141" s="294" t="str">
        <f t="shared" si="43"/>
        <v/>
      </c>
      <c r="V141" s="318">
        <f t="shared" si="44"/>
        <v>0</v>
      </c>
      <c r="W141" s="71"/>
      <c r="X141" s="72"/>
      <c r="Y141" s="589"/>
      <c r="Z141" s="72"/>
      <c r="AA141" s="589"/>
      <c r="AB141" s="406">
        <f t="shared" si="35"/>
        <v>0</v>
      </c>
      <c r="AC141" s="406">
        <f t="shared" si="37"/>
        <v>0</v>
      </c>
      <c r="AD141" s="443">
        <f t="shared" si="38"/>
        <v>0</v>
      </c>
      <c r="AE141" s="427" t="str">
        <f t="shared" si="39"/>
        <v/>
      </c>
      <c r="AF141" s="432"/>
      <c r="AG141" s="129"/>
      <c r="AH141" s="129"/>
      <c r="AI141" s="129"/>
      <c r="AJ141" s="129"/>
      <c r="AK141" s="129"/>
      <c r="AL141" s="129"/>
      <c r="AM141" s="129"/>
      <c r="AN141" s="129"/>
      <c r="AO141" s="129"/>
      <c r="AP141" s="129"/>
      <c r="AQ141" s="129"/>
      <c r="AR141" s="129"/>
      <c r="AS141" s="129"/>
      <c r="AT141" s="129"/>
      <c r="AU141" s="129"/>
      <c r="AV141" s="129"/>
      <c r="AW141" s="129"/>
    </row>
    <row r="142" spans="1:49" ht="15.75" hidden="1" customHeight="1">
      <c r="A142" s="129"/>
      <c r="B142" s="129"/>
      <c r="C142" s="302">
        <f t="shared" si="40"/>
        <v>39</v>
      </c>
      <c r="D142" s="70"/>
      <c r="E142" s="141"/>
      <c r="F142" s="282" t="str">
        <f t="shared" si="28"/>
        <v/>
      </c>
      <c r="G142" s="282" t="str">
        <f t="shared" si="42"/>
        <v/>
      </c>
      <c r="H142" s="71"/>
      <c r="I142" s="72"/>
      <c r="J142" s="589"/>
      <c r="K142" s="72"/>
      <c r="L142" s="589"/>
      <c r="M142" s="406">
        <f t="shared" si="31"/>
        <v>0</v>
      </c>
      <c r="N142" s="278">
        <f t="shared" si="45"/>
        <v>0</v>
      </c>
      <c r="O142" s="443">
        <f t="shared" si="32"/>
        <v>0</v>
      </c>
      <c r="P142" s="427" t="str">
        <f t="shared" si="36"/>
        <v/>
      </c>
      <c r="Q142" s="129"/>
      <c r="R142" s="333" t="s">
        <v>1350</v>
      </c>
      <c r="S142" s="70"/>
      <c r="T142" s="140"/>
      <c r="U142" s="294" t="str">
        <f t="shared" si="43"/>
        <v/>
      </c>
      <c r="V142" s="318">
        <f t="shared" si="44"/>
        <v>0</v>
      </c>
      <c r="W142" s="71"/>
      <c r="X142" s="72"/>
      <c r="Y142" s="589"/>
      <c r="Z142" s="72"/>
      <c r="AA142" s="589"/>
      <c r="AB142" s="406">
        <f t="shared" si="35"/>
        <v>0</v>
      </c>
      <c r="AC142" s="406">
        <f t="shared" si="37"/>
        <v>0</v>
      </c>
      <c r="AD142" s="443">
        <f t="shared" si="38"/>
        <v>0</v>
      </c>
      <c r="AE142" s="427" t="str">
        <f t="shared" si="39"/>
        <v/>
      </c>
      <c r="AF142" s="432"/>
      <c r="AG142" s="129"/>
      <c r="AH142" s="129"/>
      <c r="AI142" s="129"/>
      <c r="AJ142" s="129"/>
      <c r="AK142" s="129"/>
      <c r="AL142" s="129"/>
      <c r="AM142" s="129"/>
      <c r="AN142" s="129"/>
      <c r="AO142" s="129"/>
      <c r="AP142" s="129"/>
      <c r="AQ142" s="129"/>
      <c r="AR142" s="129"/>
      <c r="AS142" s="129"/>
      <c r="AT142" s="129"/>
      <c r="AU142" s="129"/>
      <c r="AV142" s="129"/>
      <c r="AW142" s="129"/>
    </row>
    <row r="143" spans="1:49" ht="15.75" hidden="1" customHeight="1">
      <c r="A143" s="129"/>
      <c r="B143" s="129"/>
      <c r="C143" s="302">
        <f t="shared" si="40"/>
        <v>40</v>
      </c>
      <c r="D143" s="70"/>
      <c r="E143" s="141"/>
      <c r="F143" s="282" t="str">
        <f t="shared" si="28"/>
        <v/>
      </c>
      <c r="G143" s="282" t="str">
        <f t="shared" si="42"/>
        <v/>
      </c>
      <c r="H143" s="71"/>
      <c r="I143" s="72"/>
      <c r="J143" s="589"/>
      <c r="K143" s="72"/>
      <c r="L143" s="589"/>
      <c r="M143" s="406">
        <f t="shared" si="31"/>
        <v>0</v>
      </c>
      <c r="N143" s="278">
        <f t="shared" si="45"/>
        <v>0</v>
      </c>
      <c r="O143" s="443">
        <f t="shared" si="32"/>
        <v>0</v>
      </c>
      <c r="P143" s="427" t="str">
        <f t="shared" si="36"/>
        <v/>
      </c>
      <c r="Q143" s="129"/>
      <c r="R143" s="333" t="s">
        <v>1350</v>
      </c>
      <c r="S143" s="70"/>
      <c r="T143" s="140"/>
      <c r="U143" s="294" t="str">
        <f t="shared" si="43"/>
        <v/>
      </c>
      <c r="V143" s="318">
        <f t="shared" si="44"/>
        <v>0</v>
      </c>
      <c r="W143" s="71"/>
      <c r="X143" s="72"/>
      <c r="Y143" s="589"/>
      <c r="Z143" s="72"/>
      <c r="AA143" s="589"/>
      <c r="AB143" s="406">
        <f t="shared" si="35"/>
        <v>0</v>
      </c>
      <c r="AC143" s="406">
        <f t="shared" si="37"/>
        <v>0</v>
      </c>
      <c r="AD143" s="443">
        <f t="shared" si="38"/>
        <v>0</v>
      </c>
      <c r="AE143" s="427" t="str">
        <f t="shared" si="39"/>
        <v/>
      </c>
      <c r="AF143" s="432"/>
      <c r="AG143" s="129"/>
      <c r="AH143" s="129"/>
      <c r="AI143" s="129"/>
      <c r="AJ143" s="129"/>
      <c r="AK143" s="129"/>
      <c r="AL143" s="129"/>
      <c r="AM143" s="129"/>
      <c r="AN143" s="129"/>
      <c r="AO143" s="129"/>
      <c r="AP143" s="129"/>
      <c r="AQ143" s="129"/>
      <c r="AR143" s="129"/>
      <c r="AS143" s="129"/>
      <c r="AT143" s="129"/>
      <c r="AU143" s="129"/>
      <c r="AV143" s="129"/>
      <c r="AW143" s="129"/>
    </row>
    <row r="144" spans="1:49" ht="15.75" hidden="1" customHeight="1">
      <c r="A144" s="129"/>
      <c r="B144" s="129"/>
      <c r="C144" s="302">
        <f t="shared" si="40"/>
        <v>41</v>
      </c>
      <c r="D144" s="70"/>
      <c r="E144" s="141"/>
      <c r="F144" s="282" t="str">
        <f t="shared" si="28"/>
        <v/>
      </c>
      <c r="G144" s="282" t="str">
        <f t="shared" si="42"/>
        <v/>
      </c>
      <c r="H144" s="71"/>
      <c r="I144" s="72"/>
      <c r="J144" s="589"/>
      <c r="K144" s="72"/>
      <c r="L144" s="589"/>
      <c r="M144" s="406">
        <f t="shared" si="31"/>
        <v>0</v>
      </c>
      <c r="N144" s="278">
        <f t="shared" si="45"/>
        <v>0</v>
      </c>
      <c r="O144" s="443">
        <f t="shared" si="32"/>
        <v>0</v>
      </c>
      <c r="P144" s="427" t="str">
        <f t="shared" si="36"/>
        <v/>
      </c>
      <c r="Q144" s="129"/>
      <c r="R144" s="333" t="s">
        <v>1350</v>
      </c>
      <c r="S144" s="70"/>
      <c r="T144" s="140"/>
      <c r="U144" s="294" t="str">
        <f t="shared" si="43"/>
        <v/>
      </c>
      <c r="V144" s="318">
        <f t="shared" si="44"/>
        <v>0</v>
      </c>
      <c r="W144" s="71"/>
      <c r="X144" s="72"/>
      <c r="Y144" s="589"/>
      <c r="Z144" s="72"/>
      <c r="AA144" s="589"/>
      <c r="AB144" s="406">
        <f t="shared" si="35"/>
        <v>0</v>
      </c>
      <c r="AC144" s="406">
        <f t="shared" si="37"/>
        <v>0</v>
      </c>
      <c r="AD144" s="443">
        <f t="shared" si="38"/>
        <v>0</v>
      </c>
      <c r="AE144" s="427" t="str">
        <f t="shared" si="39"/>
        <v/>
      </c>
      <c r="AF144" s="432"/>
      <c r="AG144" s="129"/>
      <c r="AH144" s="129"/>
      <c r="AI144" s="129"/>
      <c r="AJ144" s="129"/>
      <c r="AK144" s="129"/>
      <c r="AL144" s="129"/>
      <c r="AM144" s="129"/>
      <c r="AN144" s="129"/>
      <c r="AO144" s="129"/>
      <c r="AP144" s="129"/>
      <c r="AQ144" s="129"/>
      <c r="AR144" s="129"/>
      <c r="AS144" s="129"/>
      <c r="AT144" s="129"/>
      <c r="AU144" s="129"/>
      <c r="AV144" s="129"/>
      <c r="AW144" s="129"/>
    </row>
    <row r="145" spans="1:49" ht="15.75" hidden="1" customHeight="1">
      <c r="A145" s="129"/>
      <c r="B145" s="129"/>
      <c r="C145" s="302">
        <f t="shared" si="40"/>
        <v>42</v>
      </c>
      <c r="D145" s="70"/>
      <c r="E145" s="141"/>
      <c r="F145" s="282" t="str">
        <f t="shared" si="28"/>
        <v/>
      </c>
      <c r="G145" s="282" t="str">
        <f t="shared" si="42"/>
        <v/>
      </c>
      <c r="H145" s="71"/>
      <c r="I145" s="72"/>
      <c r="J145" s="589"/>
      <c r="K145" s="72"/>
      <c r="L145" s="589"/>
      <c r="M145" s="406">
        <f t="shared" ref="M145:M151" si="46">IFERROR(H145*(I145+(J145/12))*(K145+(L145/12)),"")</f>
        <v>0</v>
      </c>
      <c r="N145" s="278">
        <f t="shared" ref="N145:N151" si="47">IFERROR(G145*M145,0)</f>
        <v>0</v>
      </c>
      <c r="O145" s="443">
        <f t="shared" si="32"/>
        <v>0</v>
      </c>
      <c r="P145" s="427" t="str">
        <f t="shared" si="36"/>
        <v/>
      </c>
      <c r="Q145" s="129"/>
      <c r="R145" s="333" t="s">
        <v>1350</v>
      </c>
      <c r="S145" s="70"/>
      <c r="T145" s="140"/>
      <c r="U145" s="294" t="str">
        <f t="shared" si="43"/>
        <v/>
      </c>
      <c r="V145" s="318">
        <f t="shared" si="44"/>
        <v>0</v>
      </c>
      <c r="W145" s="71"/>
      <c r="X145" s="72"/>
      <c r="Y145" s="589"/>
      <c r="Z145" s="72"/>
      <c r="AA145" s="589"/>
      <c r="AB145" s="406">
        <f t="shared" si="35"/>
        <v>0</v>
      </c>
      <c r="AC145" s="406">
        <f t="shared" si="37"/>
        <v>0</v>
      </c>
      <c r="AD145" s="443">
        <f t="shared" si="38"/>
        <v>0</v>
      </c>
      <c r="AE145" s="427" t="str">
        <f t="shared" si="39"/>
        <v/>
      </c>
      <c r="AF145" s="432"/>
      <c r="AG145" s="129"/>
      <c r="AH145" s="129"/>
      <c r="AI145" s="129"/>
      <c r="AJ145" s="129"/>
      <c r="AK145" s="129"/>
      <c r="AL145" s="129"/>
      <c r="AM145" s="129"/>
      <c r="AN145" s="129"/>
      <c r="AO145" s="129"/>
      <c r="AP145" s="129"/>
      <c r="AQ145" s="129"/>
      <c r="AR145" s="129"/>
      <c r="AS145" s="129"/>
      <c r="AT145" s="129"/>
      <c r="AU145" s="129"/>
      <c r="AV145" s="129"/>
      <c r="AW145" s="129"/>
    </row>
    <row r="146" spans="1:49" ht="15.75" hidden="1" customHeight="1">
      <c r="A146" s="129"/>
      <c r="B146" s="129"/>
      <c r="C146" s="302">
        <f t="shared" si="40"/>
        <v>43</v>
      </c>
      <c r="D146" s="70"/>
      <c r="E146" s="141"/>
      <c r="F146" s="282" t="str">
        <f t="shared" si="28"/>
        <v/>
      </c>
      <c r="G146" s="282" t="str">
        <f t="shared" si="42"/>
        <v/>
      </c>
      <c r="H146" s="71"/>
      <c r="I146" s="72"/>
      <c r="J146" s="589"/>
      <c r="K146" s="72"/>
      <c r="L146" s="589"/>
      <c r="M146" s="406">
        <f t="shared" si="46"/>
        <v>0</v>
      </c>
      <c r="N146" s="278">
        <f t="shared" si="47"/>
        <v>0</v>
      </c>
      <c r="O146" s="443">
        <f t="shared" si="32"/>
        <v>0</v>
      </c>
      <c r="P146" s="427" t="str">
        <f t="shared" si="36"/>
        <v/>
      </c>
      <c r="Q146" s="129"/>
      <c r="R146" s="333"/>
      <c r="S146" s="70"/>
      <c r="T146" s="140"/>
      <c r="U146" s="294"/>
      <c r="V146" s="318"/>
      <c r="W146" s="71"/>
      <c r="X146" s="72"/>
      <c r="Y146" s="589"/>
      <c r="Z146" s="72"/>
      <c r="AA146" s="589"/>
      <c r="AB146" s="406"/>
      <c r="AC146" s="406"/>
      <c r="AD146" s="443"/>
      <c r="AE146" s="427"/>
      <c r="AF146" s="432"/>
      <c r="AG146" s="129"/>
      <c r="AH146" s="129"/>
      <c r="AI146" s="129"/>
      <c r="AJ146" s="129"/>
      <c r="AK146" s="129"/>
      <c r="AL146" s="129"/>
      <c r="AM146" s="129"/>
      <c r="AN146" s="129"/>
      <c r="AO146" s="129"/>
      <c r="AP146" s="129"/>
      <c r="AQ146" s="129"/>
      <c r="AR146" s="129"/>
      <c r="AS146" s="129"/>
      <c r="AT146" s="129"/>
      <c r="AU146" s="129"/>
      <c r="AV146" s="129"/>
      <c r="AW146" s="129"/>
    </row>
    <row r="147" spans="1:49" ht="15.75" hidden="1" customHeight="1">
      <c r="A147" s="129"/>
      <c r="B147" s="129"/>
      <c r="C147" s="302">
        <f t="shared" si="40"/>
        <v>44</v>
      </c>
      <c r="D147" s="70"/>
      <c r="E147" s="141"/>
      <c r="F147" s="282" t="str">
        <f t="shared" si="28"/>
        <v/>
      </c>
      <c r="G147" s="282" t="str">
        <f t="shared" si="42"/>
        <v/>
      </c>
      <c r="H147" s="71"/>
      <c r="I147" s="72"/>
      <c r="J147" s="589"/>
      <c r="K147" s="72"/>
      <c r="L147" s="589"/>
      <c r="M147" s="406">
        <f t="shared" si="46"/>
        <v>0</v>
      </c>
      <c r="N147" s="278">
        <f t="shared" si="47"/>
        <v>0</v>
      </c>
      <c r="O147" s="443">
        <f t="shared" si="32"/>
        <v>0</v>
      </c>
      <c r="P147" s="427" t="str">
        <f t="shared" si="36"/>
        <v/>
      </c>
      <c r="Q147" s="129"/>
      <c r="R147" s="333"/>
      <c r="S147" s="70"/>
      <c r="T147" s="140"/>
      <c r="U147" s="294"/>
      <c r="V147" s="318"/>
      <c r="W147" s="71"/>
      <c r="X147" s="72"/>
      <c r="Y147" s="589"/>
      <c r="Z147" s="72"/>
      <c r="AA147" s="589"/>
      <c r="AB147" s="406"/>
      <c r="AC147" s="406"/>
      <c r="AD147" s="443"/>
      <c r="AE147" s="427"/>
      <c r="AF147" s="432"/>
      <c r="AG147" s="129"/>
      <c r="AH147" s="129"/>
      <c r="AI147" s="129"/>
      <c r="AJ147" s="129"/>
      <c r="AK147" s="129"/>
      <c r="AL147" s="129"/>
      <c r="AM147" s="129"/>
      <c r="AN147" s="129"/>
      <c r="AO147" s="129"/>
      <c r="AP147" s="129"/>
      <c r="AQ147" s="129"/>
      <c r="AR147" s="129"/>
      <c r="AS147" s="129"/>
      <c r="AT147" s="129"/>
      <c r="AU147" s="129"/>
      <c r="AV147" s="129"/>
      <c r="AW147" s="129"/>
    </row>
    <row r="148" spans="1:49" ht="15.75" hidden="1" customHeight="1">
      <c r="A148" s="129"/>
      <c r="B148" s="129"/>
      <c r="C148" s="302">
        <f t="shared" si="40"/>
        <v>45</v>
      </c>
      <c r="D148" s="70"/>
      <c r="E148" s="141"/>
      <c r="F148" s="282" t="str">
        <f t="shared" si="28"/>
        <v/>
      </c>
      <c r="G148" s="282" t="str">
        <f t="shared" si="42"/>
        <v/>
      </c>
      <c r="H148" s="71"/>
      <c r="I148" s="72"/>
      <c r="J148" s="589"/>
      <c r="K148" s="72"/>
      <c r="L148" s="589"/>
      <c r="M148" s="406">
        <f t="shared" si="46"/>
        <v>0</v>
      </c>
      <c r="N148" s="278">
        <f t="shared" si="47"/>
        <v>0</v>
      </c>
      <c r="O148" s="443">
        <f t="shared" si="32"/>
        <v>0</v>
      </c>
      <c r="P148" s="427" t="str">
        <f t="shared" si="36"/>
        <v/>
      </c>
      <c r="Q148" s="129"/>
      <c r="R148" s="333"/>
      <c r="S148" s="70"/>
      <c r="T148" s="140"/>
      <c r="U148" s="294"/>
      <c r="V148" s="318"/>
      <c r="W148" s="71"/>
      <c r="X148" s="72"/>
      <c r="Y148" s="589"/>
      <c r="Z148" s="72"/>
      <c r="AA148" s="589"/>
      <c r="AB148" s="406"/>
      <c r="AC148" s="406"/>
      <c r="AD148" s="443"/>
      <c r="AE148" s="427"/>
      <c r="AF148" s="432"/>
      <c r="AG148" s="129"/>
      <c r="AH148" s="129"/>
      <c r="AI148" s="129"/>
      <c r="AJ148" s="129"/>
      <c r="AK148" s="129"/>
      <c r="AL148" s="129"/>
      <c r="AM148" s="129"/>
      <c r="AN148" s="129"/>
      <c r="AO148" s="129"/>
      <c r="AP148" s="129"/>
      <c r="AQ148" s="129"/>
      <c r="AR148" s="129"/>
      <c r="AS148" s="129"/>
      <c r="AT148" s="129"/>
      <c r="AU148" s="129"/>
      <c r="AV148" s="129"/>
      <c r="AW148" s="129"/>
    </row>
    <row r="149" spans="1:49" ht="15.75" hidden="1" customHeight="1">
      <c r="A149" s="129"/>
      <c r="B149" s="129"/>
      <c r="C149" s="302">
        <f t="shared" si="40"/>
        <v>46</v>
      </c>
      <c r="D149" s="70"/>
      <c r="E149" s="141"/>
      <c r="F149" s="282" t="str">
        <f t="shared" si="28"/>
        <v/>
      </c>
      <c r="G149" s="282" t="str">
        <f t="shared" si="42"/>
        <v/>
      </c>
      <c r="H149" s="71"/>
      <c r="I149" s="72"/>
      <c r="J149" s="589"/>
      <c r="K149" s="72"/>
      <c r="L149" s="589"/>
      <c r="M149" s="406">
        <f t="shared" si="46"/>
        <v>0</v>
      </c>
      <c r="N149" s="278">
        <f t="shared" si="47"/>
        <v>0</v>
      </c>
      <c r="O149" s="443">
        <f t="shared" si="32"/>
        <v>0</v>
      </c>
      <c r="P149" s="427" t="str">
        <f t="shared" si="36"/>
        <v/>
      </c>
      <c r="Q149" s="129"/>
      <c r="R149" s="333"/>
      <c r="S149" s="70"/>
      <c r="T149" s="140"/>
      <c r="U149" s="294"/>
      <c r="V149" s="318"/>
      <c r="W149" s="71"/>
      <c r="X149" s="72"/>
      <c r="Y149" s="589"/>
      <c r="Z149" s="72"/>
      <c r="AA149" s="589"/>
      <c r="AB149" s="406"/>
      <c r="AC149" s="406"/>
      <c r="AD149" s="443"/>
      <c r="AE149" s="427"/>
      <c r="AF149" s="432"/>
      <c r="AG149" s="129"/>
      <c r="AH149" s="129"/>
      <c r="AI149" s="129"/>
      <c r="AJ149" s="129"/>
      <c r="AK149" s="129"/>
      <c r="AL149" s="129"/>
      <c r="AM149" s="129"/>
      <c r="AN149" s="129"/>
      <c r="AO149" s="129"/>
      <c r="AP149" s="129"/>
      <c r="AQ149" s="129"/>
      <c r="AR149" s="129"/>
      <c r="AS149" s="129"/>
      <c r="AT149" s="129"/>
      <c r="AU149" s="129"/>
      <c r="AV149" s="129"/>
      <c r="AW149" s="129"/>
    </row>
    <row r="150" spans="1:49" ht="15.75" hidden="1" customHeight="1">
      <c r="A150" s="129"/>
      <c r="B150" s="129"/>
      <c r="C150" s="302">
        <f t="shared" si="40"/>
        <v>47</v>
      </c>
      <c r="D150" s="70"/>
      <c r="E150" s="141"/>
      <c r="F150" s="282" t="str">
        <f t="shared" si="28"/>
        <v/>
      </c>
      <c r="G150" s="282" t="str">
        <f t="shared" si="42"/>
        <v/>
      </c>
      <c r="H150" s="71"/>
      <c r="I150" s="72"/>
      <c r="J150" s="589"/>
      <c r="K150" s="72"/>
      <c r="L150" s="589"/>
      <c r="M150" s="406">
        <f t="shared" si="46"/>
        <v>0</v>
      </c>
      <c r="N150" s="278">
        <f t="shared" si="47"/>
        <v>0</v>
      </c>
      <c r="O150" s="443">
        <f t="shared" si="32"/>
        <v>0</v>
      </c>
      <c r="P150" s="427" t="str">
        <f t="shared" si="36"/>
        <v/>
      </c>
      <c r="Q150" s="129"/>
      <c r="R150" s="333"/>
      <c r="S150" s="70"/>
      <c r="T150" s="140"/>
      <c r="U150" s="294"/>
      <c r="V150" s="318"/>
      <c r="W150" s="71"/>
      <c r="X150" s="72"/>
      <c r="Y150" s="589"/>
      <c r="Z150" s="72"/>
      <c r="AA150" s="589"/>
      <c r="AB150" s="406"/>
      <c r="AC150" s="406"/>
      <c r="AD150" s="443"/>
      <c r="AE150" s="427"/>
      <c r="AF150" s="432"/>
      <c r="AG150" s="129"/>
      <c r="AH150" s="129"/>
      <c r="AI150" s="129"/>
      <c r="AJ150" s="129"/>
      <c r="AK150" s="129"/>
      <c r="AL150" s="129"/>
      <c r="AM150" s="129"/>
      <c r="AN150" s="129"/>
      <c r="AO150" s="129"/>
      <c r="AP150" s="129"/>
      <c r="AQ150" s="129"/>
      <c r="AR150" s="129"/>
      <c r="AS150" s="129"/>
      <c r="AT150" s="129"/>
      <c r="AU150" s="129"/>
      <c r="AV150" s="129"/>
      <c r="AW150" s="129"/>
    </row>
    <row r="151" spans="1:49" ht="15.75" hidden="1" customHeight="1">
      <c r="A151" s="129"/>
      <c r="B151" s="129"/>
      <c r="C151" s="302">
        <f t="shared" si="40"/>
        <v>48</v>
      </c>
      <c r="D151" s="70"/>
      <c r="E151" s="141"/>
      <c r="F151" s="282" t="str">
        <f t="shared" si="28"/>
        <v/>
      </c>
      <c r="G151" s="282" t="str">
        <f t="shared" si="42"/>
        <v/>
      </c>
      <c r="H151" s="71"/>
      <c r="I151" s="72"/>
      <c r="J151" s="589"/>
      <c r="K151" s="72"/>
      <c r="L151" s="589"/>
      <c r="M151" s="406">
        <f t="shared" si="46"/>
        <v>0</v>
      </c>
      <c r="N151" s="278">
        <f t="shared" si="47"/>
        <v>0</v>
      </c>
      <c r="O151" s="443">
        <f t="shared" si="32"/>
        <v>0</v>
      </c>
      <c r="P151" s="427" t="str">
        <f t="shared" si="36"/>
        <v/>
      </c>
      <c r="Q151" s="129"/>
      <c r="R151" s="333" t="s">
        <v>1350</v>
      </c>
      <c r="S151" s="70"/>
      <c r="T151" s="140"/>
      <c r="U151" s="294" t="str">
        <f t="shared" si="43"/>
        <v/>
      </c>
      <c r="V151" s="318">
        <f t="shared" si="44"/>
        <v>0</v>
      </c>
      <c r="W151" s="71"/>
      <c r="X151" s="72"/>
      <c r="Y151" s="589"/>
      <c r="Z151" s="72"/>
      <c r="AA151" s="589"/>
      <c r="AB151" s="406">
        <f t="shared" si="35"/>
        <v>0</v>
      </c>
      <c r="AC151" s="406">
        <f t="shared" si="37"/>
        <v>0</v>
      </c>
      <c r="AD151" s="443">
        <f t="shared" si="38"/>
        <v>0</v>
      </c>
      <c r="AE151" s="427" t="str">
        <f t="shared" si="39"/>
        <v/>
      </c>
      <c r="AF151" s="432"/>
      <c r="AG151" s="129"/>
      <c r="AH151" s="129"/>
      <c r="AI151" s="129"/>
      <c r="AJ151" s="129"/>
      <c r="AK151" s="129"/>
      <c r="AL151" s="129"/>
      <c r="AM151" s="129"/>
      <c r="AN151" s="129"/>
      <c r="AO151" s="129"/>
      <c r="AP151" s="129"/>
      <c r="AQ151" s="129"/>
      <c r="AR151" s="129"/>
      <c r="AS151" s="129"/>
      <c r="AT151" s="129"/>
      <c r="AU151" s="129"/>
      <c r="AV151" s="129"/>
      <c r="AW151" s="129"/>
    </row>
    <row r="152" spans="1:49" ht="15.75" hidden="1" customHeight="1">
      <c r="A152" s="129"/>
      <c r="B152" s="129"/>
      <c r="C152" s="302">
        <f t="shared" si="40"/>
        <v>49</v>
      </c>
      <c r="D152" s="70"/>
      <c r="E152" s="141"/>
      <c r="F152" s="282" t="str">
        <f t="shared" si="28"/>
        <v/>
      </c>
      <c r="G152" s="282" t="str">
        <f t="shared" si="42"/>
        <v/>
      </c>
      <c r="H152" s="71"/>
      <c r="I152" s="72"/>
      <c r="J152" s="589"/>
      <c r="K152" s="72"/>
      <c r="L152" s="589"/>
      <c r="M152" s="406">
        <f t="shared" si="31"/>
        <v>0</v>
      </c>
      <c r="N152" s="278">
        <f t="shared" si="45"/>
        <v>0</v>
      </c>
      <c r="O152" s="443">
        <f t="shared" si="32"/>
        <v>0</v>
      </c>
      <c r="P152" s="427" t="str">
        <f t="shared" si="36"/>
        <v/>
      </c>
      <c r="Q152" s="129"/>
      <c r="R152" s="333" t="s">
        <v>1350</v>
      </c>
      <c r="S152" s="70"/>
      <c r="T152" s="140"/>
      <c r="U152" s="294" t="str">
        <f t="shared" si="43"/>
        <v/>
      </c>
      <c r="V152" s="318">
        <f t="shared" si="44"/>
        <v>0</v>
      </c>
      <c r="W152" s="71"/>
      <c r="X152" s="72"/>
      <c r="Y152" s="589"/>
      <c r="Z152" s="72"/>
      <c r="AA152" s="589"/>
      <c r="AB152" s="406">
        <f t="shared" si="35"/>
        <v>0</v>
      </c>
      <c r="AC152" s="406">
        <f t="shared" si="37"/>
        <v>0</v>
      </c>
      <c r="AD152" s="443">
        <f t="shared" si="38"/>
        <v>0</v>
      </c>
      <c r="AE152" s="427" t="str">
        <f t="shared" si="39"/>
        <v/>
      </c>
      <c r="AF152" s="432"/>
      <c r="AG152" s="129"/>
      <c r="AH152" s="129"/>
      <c r="AI152" s="129"/>
      <c r="AJ152" s="129"/>
      <c r="AK152" s="129"/>
      <c r="AL152" s="129"/>
      <c r="AM152" s="129"/>
      <c r="AN152" s="129"/>
      <c r="AO152" s="129"/>
      <c r="AP152" s="129"/>
      <c r="AQ152" s="129"/>
      <c r="AR152" s="129"/>
      <c r="AS152" s="129"/>
      <c r="AT152" s="129"/>
      <c r="AU152" s="129"/>
      <c r="AV152" s="129"/>
      <c r="AW152" s="129"/>
    </row>
    <row r="153" spans="1:49" ht="15.75" hidden="1" customHeight="1">
      <c r="A153" s="129"/>
      <c r="B153" s="129"/>
      <c r="C153" s="302">
        <f t="shared" si="40"/>
        <v>50</v>
      </c>
      <c r="D153" s="70"/>
      <c r="E153" s="141"/>
      <c r="F153" s="282" t="str">
        <f t="shared" si="28"/>
        <v/>
      </c>
      <c r="G153" s="282" t="str">
        <f t="shared" si="42"/>
        <v/>
      </c>
      <c r="H153" s="71"/>
      <c r="I153" s="72"/>
      <c r="J153" s="589"/>
      <c r="K153" s="72"/>
      <c r="L153" s="589"/>
      <c r="M153" s="406">
        <f t="shared" si="31"/>
        <v>0</v>
      </c>
      <c r="N153" s="278">
        <f t="shared" si="45"/>
        <v>0</v>
      </c>
      <c r="O153" s="443">
        <f t="shared" si="32"/>
        <v>0</v>
      </c>
      <c r="P153" s="427" t="str">
        <f t="shared" si="36"/>
        <v/>
      </c>
      <c r="Q153" s="129"/>
      <c r="R153" s="333" t="s">
        <v>1350</v>
      </c>
      <c r="S153" s="70"/>
      <c r="T153" s="140"/>
      <c r="U153" s="294" t="str">
        <f t="shared" si="43"/>
        <v/>
      </c>
      <c r="V153" s="318">
        <f t="shared" si="44"/>
        <v>0</v>
      </c>
      <c r="W153" s="71"/>
      <c r="X153" s="72"/>
      <c r="Y153" s="589"/>
      <c r="Z153" s="72"/>
      <c r="AA153" s="589"/>
      <c r="AB153" s="406">
        <f t="shared" si="35"/>
        <v>0</v>
      </c>
      <c r="AC153" s="406">
        <f t="shared" si="37"/>
        <v>0</v>
      </c>
      <c r="AD153" s="443">
        <f t="shared" si="38"/>
        <v>0</v>
      </c>
      <c r="AE153" s="427" t="str">
        <f t="shared" si="39"/>
        <v/>
      </c>
      <c r="AF153" s="432"/>
      <c r="AG153" s="129"/>
      <c r="AH153" s="129"/>
      <c r="AI153" s="129"/>
      <c r="AJ153" s="129"/>
      <c r="AK153" s="129"/>
      <c r="AL153" s="129"/>
      <c r="AM153" s="129"/>
      <c r="AN153" s="129"/>
      <c r="AO153" s="129"/>
      <c r="AP153" s="129"/>
      <c r="AQ153" s="129"/>
      <c r="AR153" s="129"/>
      <c r="AS153" s="129"/>
      <c r="AT153" s="129"/>
      <c r="AU153" s="129"/>
      <c r="AV153" s="129"/>
      <c r="AW153" s="129"/>
    </row>
    <row r="154" spans="1:49" ht="15.75" hidden="1" customHeight="1">
      <c r="A154" s="129"/>
      <c r="B154" s="129"/>
      <c r="C154" s="302">
        <f t="shared" si="40"/>
        <v>51</v>
      </c>
      <c r="D154" s="70"/>
      <c r="E154" s="141"/>
      <c r="F154" s="282" t="str">
        <f t="shared" si="28"/>
        <v/>
      </c>
      <c r="G154" s="282" t="str">
        <f t="shared" si="42"/>
        <v/>
      </c>
      <c r="H154" s="71"/>
      <c r="I154" s="72"/>
      <c r="J154" s="589"/>
      <c r="K154" s="72"/>
      <c r="L154" s="589"/>
      <c r="M154" s="406">
        <f t="shared" si="31"/>
        <v>0</v>
      </c>
      <c r="N154" s="278">
        <f t="shared" si="45"/>
        <v>0</v>
      </c>
      <c r="O154" s="443">
        <f t="shared" si="32"/>
        <v>0</v>
      </c>
      <c r="P154" s="427" t="str">
        <f t="shared" si="36"/>
        <v/>
      </c>
      <c r="Q154" s="129"/>
      <c r="R154" s="333" t="s">
        <v>1350</v>
      </c>
      <c r="S154" s="70"/>
      <c r="T154" s="140"/>
      <c r="U154" s="294" t="str">
        <f t="shared" si="43"/>
        <v/>
      </c>
      <c r="V154" s="318">
        <f t="shared" si="44"/>
        <v>0</v>
      </c>
      <c r="W154" s="71"/>
      <c r="X154" s="72"/>
      <c r="Y154" s="589"/>
      <c r="Z154" s="72"/>
      <c r="AA154" s="589"/>
      <c r="AB154" s="406">
        <f t="shared" si="35"/>
        <v>0</v>
      </c>
      <c r="AC154" s="406">
        <f t="shared" si="37"/>
        <v>0</v>
      </c>
      <c r="AD154" s="443">
        <f t="shared" si="38"/>
        <v>0</v>
      </c>
      <c r="AE154" s="427" t="str">
        <f t="shared" si="39"/>
        <v/>
      </c>
      <c r="AF154" s="432"/>
      <c r="AG154" s="129"/>
      <c r="AH154" s="129"/>
      <c r="AI154" s="129"/>
      <c r="AJ154" s="129"/>
      <c r="AK154" s="129"/>
      <c r="AL154" s="129"/>
      <c r="AM154" s="129"/>
      <c r="AN154" s="129"/>
      <c r="AO154" s="129"/>
      <c r="AP154" s="129"/>
      <c r="AQ154" s="129"/>
      <c r="AR154" s="129"/>
      <c r="AS154" s="129"/>
      <c r="AT154" s="129"/>
      <c r="AU154" s="129"/>
      <c r="AV154" s="129"/>
      <c r="AW154" s="129"/>
    </row>
    <row r="155" spans="1:49" ht="15.75" hidden="1" customHeight="1">
      <c r="A155" s="129"/>
      <c r="B155" s="129"/>
      <c r="C155" s="302">
        <f t="shared" si="40"/>
        <v>52</v>
      </c>
      <c r="D155" s="70"/>
      <c r="E155" s="141"/>
      <c r="F155" s="282" t="str">
        <f t="shared" si="28"/>
        <v/>
      </c>
      <c r="G155" s="282" t="str">
        <f t="shared" si="42"/>
        <v/>
      </c>
      <c r="H155" s="71"/>
      <c r="I155" s="72"/>
      <c r="J155" s="589"/>
      <c r="K155" s="72"/>
      <c r="L155" s="589"/>
      <c r="M155" s="406">
        <f t="shared" si="31"/>
        <v>0</v>
      </c>
      <c r="N155" s="278">
        <f t="shared" si="45"/>
        <v>0</v>
      </c>
      <c r="O155" s="443">
        <f t="shared" si="32"/>
        <v>0</v>
      </c>
      <c r="P155" s="427" t="str">
        <f t="shared" si="36"/>
        <v/>
      </c>
      <c r="Q155" s="129"/>
      <c r="R155" s="333" t="s">
        <v>1350</v>
      </c>
      <c r="S155" s="70"/>
      <c r="T155" s="140"/>
      <c r="U155" s="294" t="str">
        <f t="shared" si="43"/>
        <v/>
      </c>
      <c r="V155" s="318">
        <f t="shared" si="44"/>
        <v>0</v>
      </c>
      <c r="W155" s="71"/>
      <c r="X155" s="72"/>
      <c r="Y155" s="589"/>
      <c r="Z155" s="72"/>
      <c r="AA155" s="589"/>
      <c r="AB155" s="406">
        <f t="shared" si="35"/>
        <v>0</v>
      </c>
      <c r="AC155" s="406">
        <f t="shared" si="37"/>
        <v>0</v>
      </c>
      <c r="AD155" s="443">
        <f t="shared" si="38"/>
        <v>0</v>
      </c>
      <c r="AE155" s="427" t="str">
        <f t="shared" si="39"/>
        <v/>
      </c>
      <c r="AF155" s="432"/>
      <c r="AG155" s="129"/>
      <c r="AH155" s="129"/>
      <c r="AI155" s="129"/>
      <c r="AJ155" s="129"/>
      <c r="AK155" s="129"/>
      <c r="AL155" s="129"/>
      <c r="AM155" s="129"/>
      <c r="AN155" s="129"/>
      <c r="AO155" s="129"/>
      <c r="AP155" s="129"/>
      <c r="AQ155" s="129"/>
      <c r="AR155" s="129"/>
      <c r="AS155" s="129"/>
      <c r="AT155" s="129"/>
      <c r="AU155" s="129"/>
      <c r="AV155" s="129"/>
      <c r="AW155" s="129"/>
    </row>
    <row r="156" spans="1:49" ht="15.75" hidden="1" customHeight="1">
      <c r="A156" s="129"/>
      <c r="B156" s="129"/>
      <c r="C156" s="302">
        <f t="shared" si="40"/>
        <v>53</v>
      </c>
      <c r="D156" s="70"/>
      <c r="E156" s="141"/>
      <c r="F156" s="282" t="str">
        <f t="shared" si="28"/>
        <v/>
      </c>
      <c r="G156" s="282" t="str">
        <f t="shared" si="42"/>
        <v/>
      </c>
      <c r="H156" s="71"/>
      <c r="I156" s="72"/>
      <c r="J156" s="589"/>
      <c r="K156" s="72"/>
      <c r="L156" s="589"/>
      <c r="M156" s="406">
        <f t="shared" si="31"/>
        <v>0</v>
      </c>
      <c r="N156" s="278">
        <f t="shared" si="45"/>
        <v>0</v>
      </c>
      <c r="O156" s="443">
        <f t="shared" si="32"/>
        <v>0</v>
      </c>
      <c r="P156" s="427" t="str">
        <f t="shared" si="36"/>
        <v/>
      </c>
      <c r="Q156" s="129"/>
      <c r="R156" s="333" t="s">
        <v>1350</v>
      </c>
      <c r="S156" s="70"/>
      <c r="T156" s="140"/>
      <c r="U156" s="294" t="str">
        <f t="shared" si="43"/>
        <v/>
      </c>
      <c r="V156" s="318">
        <f t="shared" si="44"/>
        <v>0</v>
      </c>
      <c r="W156" s="71"/>
      <c r="X156" s="72"/>
      <c r="Y156" s="589"/>
      <c r="Z156" s="72"/>
      <c r="AA156" s="589"/>
      <c r="AB156" s="406">
        <f t="shared" si="35"/>
        <v>0</v>
      </c>
      <c r="AC156" s="406">
        <f t="shared" si="37"/>
        <v>0</v>
      </c>
      <c r="AD156" s="443">
        <f t="shared" si="38"/>
        <v>0</v>
      </c>
      <c r="AE156" s="427" t="str">
        <f t="shared" si="39"/>
        <v/>
      </c>
      <c r="AF156" s="432"/>
      <c r="AG156" s="129"/>
      <c r="AH156" s="129"/>
      <c r="AI156" s="129"/>
      <c r="AJ156" s="129"/>
      <c r="AK156" s="129"/>
      <c r="AL156" s="129"/>
      <c r="AM156" s="129"/>
      <c r="AN156" s="129"/>
      <c r="AO156" s="129"/>
      <c r="AP156" s="129"/>
      <c r="AQ156" s="129"/>
      <c r="AR156" s="129"/>
      <c r="AS156" s="129"/>
      <c r="AT156" s="129"/>
      <c r="AU156" s="129"/>
      <c r="AV156" s="129"/>
      <c r="AW156" s="129"/>
    </row>
    <row r="157" spans="1:49" ht="15.75" hidden="1" customHeight="1">
      <c r="A157" s="129"/>
      <c r="B157" s="129"/>
      <c r="C157" s="302">
        <f t="shared" si="40"/>
        <v>54</v>
      </c>
      <c r="D157" s="70"/>
      <c r="E157" s="141"/>
      <c r="F157" s="282" t="str">
        <f t="shared" si="28"/>
        <v/>
      </c>
      <c r="G157" s="282" t="str">
        <f t="shared" si="42"/>
        <v/>
      </c>
      <c r="H157" s="71"/>
      <c r="I157" s="72"/>
      <c r="J157" s="589"/>
      <c r="K157" s="72"/>
      <c r="L157" s="589"/>
      <c r="M157" s="406">
        <f t="shared" si="31"/>
        <v>0</v>
      </c>
      <c r="N157" s="278">
        <f t="shared" si="45"/>
        <v>0</v>
      </c>
      <c r="O157" s="443">
        <f t="shared" si="32"/>
        <v>0</v>
      </c>
      <c r="P157" s="427" t="str">
        <f t="shared" si="36"/>
        <v/>
      </c>
      <c r="Q157" s="129"/>
      <c r="R157" s="333" t="s">
        <v>1350</v>
      </c>
      <c r="S157" s="70"/>
      <c r="T157" s="140"/>
      <c r="U157" s="294" t="str">
        <f t="shared" si="43"/>
        <v/>
      </c>
      <c r="V157" s="318">
        <f t="shared" si="44"/>
        <v>0</v>
      </c>
      <c r="W157" s="71"/>
      <c r="X157" s="72"/>
      <c r="Y157" s="589"/>
      <c r="Z157" s="72"/>
      <c r="AA157" s="589"/>
      <c r="AB157" s="406">
        <f t="shared" si="35"/>
        <v>0</v>
      </c>
      <c r="AC157" s="406">
        <f t="shared" si="37"/>
        <v>0</v>
      </c>
      <c r="AD157" s="443">
        <f t="shared" si="38"/>
        <v>0</v>
      </c>
      <c r="AE157" s="427" t="str">
        <f t="shared" si="39"/>
        <v/>
      </c>
      <c r="AF157" s="432"/>
      <c r="AG157" s="129"/>
      <c r="AH157" s="129"/>
      <c r="AI157" s="129"/>
      <c r="AJ157" s="129"/>
      <c r="AK157" s="129"/>
      <c r="AL157" s="129"/>
      <c r="AM157" s="129"/>
      <c r="AN157" s="129"/>
      <c r="AO157" s="129"/>
      <c r="AP157" s="129"/>
      <c r="AQ157" s="129"/>
      <c r="AR157" s="129"/>
      <c r="AS157" s="129"/>
      <c r="AT157" s="129"/>
      <c r="AU157" s="129"/>
      <c r="AV157" s="129"/>
      <c r="AW157" s="129"/>
    </row>
    <row r="158" spans="1:49" ht="15.75" hidden="1" customHeight="1">
      <c r="A158" s="129"/>
      <c r="B158" s="129"/>
      <c r="C158" s="302">
        <f t="shared" si="40"/>
        <v>55</v>
      </c>
      <c r="D158" s="70"/>
      <c r="E158" s="141"/>
      <c r="F158" s="282" t="str">
        <f t="shared" si="28"/>
        <v/>
      </c>
      <c r="G158" s="282" t="str">
        <f t="shared" si="42"/>
        <v/>
      </c>
      <c r="H158" s="71"/>
      <c r="I158" s="72"/>
      <c r="J158" s="589"/>
      <c r="K158" s="72"/>
      <c r="L158" s="589"/>
      <c r="M158" s="406">
        <f t="shared" si="31"/>
        <v>0</v>
      </c>
      <c r="N158" s="278">
        <f t="shared" si="45"/>
        <v>0</v>
      </c>
      <c r="O158" s="443">
        <f t="shared" si="32"/>
        <v>0</v>
      </c>
      <c r="P158" s="427" t="str">
        <f t="shared" si="36"/>
        <v/>
      </c>
      <c r="Q158" s="129"/>
      <c r="R158" s="333" t="s">
        <v>1350</v>
      </c>
      <c r="S158" s="70"/>
      <c r="T158" s="140"/>
      <c r="U158" s="294" t="str">
        <f t="shared" si="43"/>
        <v/>
      </c>
      <c r="V158" s="318">
        <f t="shared" si="44"/>
        <v>0</v>
      </c>
      <c r="W158" s="71"/>
      <c r="X158" s="72"/>
      <c r="Y158" s="589"/>
      <c r="Z158" s="72"/>
      <c r="AA158" s="589"/>
      <c r="AB158" s="406">
        <f t="shared" si="35"/>
        <v>0</v>
      </c>
      <c r="AC158" s="406">
        <f t="shared" si="37"/>
        <v>0</v>
      </c>
      <c r="AD158" s="443">
        <f t="shared" si="38"/>
        <v>0</v>
      </c>
      <c r="AE158" s="427" t="str">
        <f t="shared" si="39"/>
        <v/>
      </c>
      <c r="AF158" s="432"/>
      <c r="AG158" s="129"/>
      <c r="AH158" s="129"/>
      <c r="AI158" s="129"/>
      <c r="AJ158" s="129"/>
      <c r="AK158" s="129"/>
      <c r="AL158" s="129"/>
      <c r="AM158" s="129"/>
      <c r="AN158" s="129"/>
      <c r="AO158" s="129"/>
      <c r="AP158" s="129"/>
      <c r="AQ158" s="129"/>
      <c r="AR158" s="129"/>
      <c r="AS158" s="129"/>
      <c r="AT158" s="129"/>
      <c r="AU158" s="129"/>
      <c r="AV158" s="129"/>
      <c r="AW158" s="129"/>
    </row>
    <row r="159" spans="1:49" ht="15.75" hidden="1" customHeight="1">
      <c r="A159" s="129"/>
      <c r="B159" s="129"/>
      <c r="C159" s="302">
        <f t="shared" si="40"/>
        <v>56</v>
      </c>
      <c r="D159" s="70"/>
      <c r="E159" s="141"/>
      <c r="F159" s="282" t="str">
        <f t="shared" si="28"/>
        <v/>
      </c>
      <c r="G159" s="282" t="str">
        <f t="shared" si="42"/>
        <v/>
      </c>
      <c r="H159" s="71"/>
      <c r="I159" s="72"/>
      <c r="J159" s="589"/>
      <c r="K159" s="72"/>
      <c r="L159" s="589"/>
      <c r="M159" s="406">
        <f t="shared" si="31"/>
        <v>0</v>
      </c>
      <c r="N159" s="278">
        <f t="shared" si="45"/>
        <v>0</v>
      </c>
      <c r="O159" s="443">
        <f t="shared" si="32"/>
        <v>0</v>
      </c>
      <c r="P159" s="427" t="str">
        <f t="shared" si="36"/>
        <v/>
      </c>
      <c r="Q159" s="129"/>
      <c r="R159" s="333" t="s">
        <v>1350</v>
      </c>
      <c r="S159" s="70"/>
      <c r="T159" s="140"/>
      <c r="U159" s="294" t="str">
        <f t="shared" si="43"/>
        <v/>
      </c>
      <c r="V159" s="318">
        <f t="shared" si="44"/>
        <v>0</v>
      </c>
      <c r="W159" s="71"/>
      <c r="X159" s="72"/>
      <c r="Y159" s="589"/>
      <c r="Z159" s="72"/>
      <c r="AA159" s="589"/>
      <c r="AB159" s="406">
        <f t="shared" si="35"/>
        <v>0</v>
      </c>
      <c r="AC159" s="406">
        <f t="shared" si="37"/>
        <v>0</v>
      </c>
      <c r="AD159" s="443">
        <f t="shared" si="38"/>
        <v>0</v>
      </c>
      <c r="AE159" s="427" t="str">
        <f t="shared" si="39"/>
        <v/>
      </c>
      <c r="AF159" s="432"/>
      <c r="AG159" s="129"/>
      <c r="AH159" s="129"/>
      <c r="AI159" s="129"/>
      <c r="AJ159" s="129"/>
      <c r="AK159" s="129"/>
      <c r="AL159" s="129"/>
      <c r="AM159" s="129"/>
      <c r="AN159" s="129"/>
      <c r="AO159" s="129"/>
      <c r="AP159" s="129"/>
      <c r="AQ159" s="129"/>
      <c r="AR159" s="129"/>
      <c r="AS159" s="129"/>
      <c r="AT159" s="129"/>
      <c r="AU159" s="129"/>
      <c r="AV159" s="129"/>
      <c r="AW159" s="129"/>
    </row>
    <row r="160" spans="1:49" ht="15.75" hidden="1" customHeight="1">
      <c r="A160" s="129"/>
      <c r="B160" s="129"/>
      <c r="C160" s="302">
        <f t="shared" si="40"/>
        <v>57</v>
      </c>
      <c r="D160" s="70"/>
      <c r="E160" s="141"/>
      <c r="F160" s="282" t="str">
        <f t="shared" si="28"/>
        <v/>
      </c>
      <c r="G160" s="282" t="str">
        <f t="shared" si="42"/>
        <v/>
      </c>
      <c r="H160" s="71"/>
      <c r="I160" s="72"/>
      <c r="J160" s="589"/>
      <c r="K160" s="72"/>
      <c r="L160" s="589"/>
      <c r="M160" s="406">
        <f t="shared" si="31"/>
        <v>0</v>
      </c>
      <c r="N160" s="278">
        <f t="shared" si="45"/>
        <v>0</v>
      </c>
      <c r="O160" s="443">
        <f t="shared" si="32"/>
        <v>0</v>
      </c>
      <c r="P160" s="427" t="str">
        <f t="shared" si="36"/>
        <v/>
      </c>
      <c r="Q160" s="129"/>
      <c r="R160" s="333" t="s">
        <v>1350</v>
      </c>
      <c r="S160" s="70"/>
      <c r="T160" s="140"/>
      <c r="U160" s="294" t="str">
        <f t="shared" si="43"/>
        <v/>
      </c>
      <c r="V160" s="318">
        <f t="shared" si="44"/>
        <v>0</v>
      </c>
      <c r="W160" s="71"/>
      <c r="X160" s="72"/>
      <c r="Y160" s="589"/>
      <c r="Z160" s="72"/>
      <c r="AA160" s="589"/>
      <c r="AB160" s="406">
        <f t="shared" si="35"/>
        <v>0</v>
      </c>
      <c r="AC160" s="406">
        <f t="shared" si="37"/>
        <v>0</v>
      </c>
      <c r="AD160" s="443">
        <f t="shared" si="38"/>
        <v>0</v>
      </c>
      <c r="AE160" s="427" t="str">
        <f t="shared" si="39"/>
        <v/>
      </c>
      <c r="AF160" s="432"/>
      <c r="AG160" s="129"/>
      <c r="AH160" s="129"/>
      <c r="AI160" s="129"/>
      <c r="AJ160" s="129"/>
      <c r="AK160" s="129"/>
      <c r="AL160" s="129"/>
      <c r="AM160" s="129"/>
      <c r="AN160" s="129"/>
      <c r="AO160" s="129"/>
      <c r="AP160" s="129"/>
      <c r="AQ160" s="129"/>
      <c r="AR160" s="129"/>
      <c r="AS160" s="129"/>
      <c r="AT160" s="129"/>
      <c r="AU160" s="129"/>
      <c r="AV160" s="129"/>
      <c r="AW160" s="129"/>
    </row>
    <row r="161" spans="1:49" ht="15.75" hidden="1" customHeight="1">
      <c r="A161" s="129"/>
      <c r="B161" s="129"/>
      <c r="C161" s="302">
        <f t="shared" si="40"/>
        <v>58</v>
      </c>
      <c r="D161" s="70"/>
      <c r="E161" s="141"/>
      <c r="F161" s="282" t="str">
        <f t="shared" si="28"/>
        <v/>
      </c>
      <c r="G161" s="282" t="str">
        <f t="shared" si="42"/>
        <v/>
      </c>
      <c r="H161" s="71"/>
      <c r="I161" s="72"/>
      <c r="J161" s="589"/>
      <c r="K161" s="72"/>
      <c r="L161" s="589"/>
      <c r="M161" s="406">
        <f t="shared" si="31"/>
        <v>0</v>
      </c>
      <c r="N161" s="278">
        <f t="shared" si="45"/>
        <v>0</v>
      </c>
      <c r="O161" s="443">
        <f t="shared" si="32"/>
        <v>0</v>
      </c>
      <c r="P161" s="427" t="str">
        <f t="shared" si="36"/>
        <v/>
      </c>
      <c r="Q161" s="129"/>
      <c r="R161" s="333" t="s">
        <v>1350</v>
      </c>
      <c r="S161" s="70"/>
      <c r="T161" s="140"/>
      <c r="U161" s="294" t="str">
        <f t="shared" si="43"/>
        <v/>
      </c>
      <c r="V161" s="318">
        <f t="shared" si="44"/>
        <v>0</v>
      </c>
      <c r="W161" s="71"/>
      <c r="X161" s="72"/>
      <c r="Y161" s="589"/>
      <c r="Z161" s="72"/>
      <c r="AA161" s="589"/>
      <c r="AB161" s="406">
        <f t="shared" si="35"/>
        <v>0</v>
      </c>
      <c r="AC161" s="406">
        <f t="shared" si="37"/>
        <v>0</v>
      </c>
      <c r="AD161" s="443">
        <f t="shared" si="38"/>
        <v>0</v>
      </c>
      <c r="AE161" s="427" t="str">
        <f t="shared" si="39"/>
        <v/>
      </c>
      <c r="AF161" s="432"/>
      <c r="AG161" s="129"/>
      <c r="AH161" s="129"/>
      <c r="AI161" s="129"/>
      <c r="AJ161" s="129"/>
      <c r="AK161" s="129"/>
      <c r="AL161" s="129"/>
      <c r="AM161" s="129"/>
      <c r="AN161" s="129"/>
      <c r="AO161" s="129"/>
      <c r="AP161" s="129"/>
      <c r="AQ161" s="129"/>
      <c r="AR161" s="129"/>
      <c r="AS161" s="129"/>
      <c r="AT161" s="129"/>
      <c r="AU161" s="129"/>
      <c r="AV161" s="129"/>
      <c r="AW161" s="129"/>
    </row>
    <row r="162" spans="1:49" ht="15.75" hidden="1" customHeight="1">
      <c r="A162" s="129"/>
      <c r="B162" s="129"/>
      <c r="C162" s="302">
        <f t="shared" si="40"/>
        <v>59</v>
      </c>
      <c r="D162" s="70"/>
      <c r="E162" s="141"/>
      <c r="F162" s="282" t="str">
        <f t="shared" si="28"/>
        <v/>
      </c>
      <c r="G162" s="282" t="str">
        <f t="shared" si="42"/>
        <v/>
      </c>
      <c r="H162" s="71"/>
      <c r="I162" s="72"/>
      <c r="J162" s="589"/>
      <c r="K162" s="72"/>
      <c r="L162" s="589"/>
      <c r="M162" s="406">
        <f t="shared" si="31"/>
        <v>0</v>
      </c>
      <c r="N162" s="278">
        <f t="shared" si="45"/>
        <v>0</v>
      </c>
      <c r="O162" s="443">
        <f t="shared" si="32"/>
        <v>0</v>
      </c>
      <c r="P162" s="427" t="str">
        <f t="shared" si="36"/>
        <v/>
      </c>
      <c r="Q162" s="129"/>
      <c r="R162" s="333" t="s">
        <v>1350</v>
      </c>
      <c r="S162" s="70"/>
      <c r="T162" s="140"/>
      <c r="U162" s="294" t="str">
        <f t="shared" si="43"/>
        <v/>
      </c>
      <c r="V162" s="318">
        <f t="shared" si="44"/>
        <v>0</v>
      </c>
      <c r="W162" s="71"/>
      <c r="X162" s="72"/>
      <c r="Y162" s="589"/>
      <c r="Z162" s="72"/>
      <c r="AA162" s="589"/>
      <c r="AB162" s="406">
        <f t="shared" si="35"/>
        <v>0</v>
      </c>
      <c r="AC162" s="406">
        <f t="shared" si="37"/>
        <v>0</v>
      </c>
      <c r="AD162" s="443">
        <f t="shared" si="38"/>
        <v>0</v>
      </c>
      <c r="AE162" s="427" t="str">
        <f t="shared" si="39"/>
        <v/>
      </c>
      <c r="AF162" s="432"/>
      <c r="AG162" s="129"/>
      <c r="AH162" s="129"/>
      <c r="AI162" s="129"/>
      <c r="AJ162" s="129"/>
      <c r="AK162" s="129"/>
      <c r="AL162" s="129"/>
      <c r="AM162" s="129"/>
      <c r="AN162" s="129"/>
      <c r="AO162" s="129"/>
      <c r="AP162" s="129"/>
      <c r="AQ162" s="129"/>
      <c r="AR162" s="129"/>
      <c r="AS162" s="129"/>
      <c r="AT162" s="129"/>
      <c r="AU162" s="129"/>
      <c r="AV162" s="129"/>
      <c r="AW162" s="129"/>
    </row>
    <row r="163" spans="1:49" ht="15.75" hidden="1" customHeight="1">
      <c r="A163" s="129"/>
      <c r="B163" s="129"/>
      <c r="C163" s="302">
        <f t="shared" si="40"/>
        <v>60</v>
      </c>
      <c r="D163" s="70"/>
      <c r="E163" s="141"/>
      <c r="F163" s="282" t="str">
        <f t="shared" si="28"/>
        <v/>
      </c>
      <c r="G163" s="282" t="str">
        <f t="shared" si="42"/>
        <v/>
      </c>
      <c r="H163" s="71"/>
      <c r="I163" s="72"/>
      <c r="J163" s="589"/>
      <c r="K163" s="72"/>
      <c r="L163" s="589"/>
      <c r="M163" s="406">
        <f t="shared" si="31"/>
        <v>0</v>
      </c>
      <c r="N163" s="278">
        <f t="shared" si="45"/>
        <v>0</v>
      </c>
      <c r="O163" s="443">
        <f t="shared" si="32"/>
        <v>0</v>
      </c>
      <c r="P163" s="427" t="str">
        <f t="shared" si="36"/>
        <v/>
      </c>
      <c r="Q163" s="129"/>
      <c r="R163" s="333" t="s">
        <v>1350</v>
      </c>
      <c r="S163" s="70"/>
      <c r="T163" s="140"/>
      <c r="U163" s="294" t="str">
        <f t="shared" si="43"/>
        <v/>
      </c>
      <c r="V163" s="318">
        <f t="shared" si="44"/>
        <v>0</v>
      </c>
      <c r="W163" s="71"/>
      <c r="X163" s="72"/>
      <c r="Y163" s="589"/>
      <c r="Z163" s="72"/>
      <c r="AA163" s="589"/>
      <c r="AB163" s="406">
        <f t="shared" si="35"/>
        <v>0</v>
      </c>
      <c r="AC163" s="406">
        <f t="shared" si="37"/>
        <v>0</v>
      </c>
      <c r="AD163" s="443">
        <f t="shared" si="38"/>
        <v>0</v>
      </c>
      <c r="AE163" s="427" t="str">
        <f t="shared" si="39"/>
        <v/>
      </c>
      <c r="AF163" s="432"/>
      <c r="AG163" s="129"/>
      <c r="AH163" s="129"/>
      <c r="AI163" s="129"/>
      <c r="AJ163" s="129"/>
      <c r="AK163" s="129"/>
      <c r="AL163" s="129"/>
      <c r="AM163" s="129"/>
      <c r="AN163" s="129"/>
      <c r="AO163" s="129"/>
      <c r="AP163" s="129"/>
      <c r="AQ163" s="129"/>
      <c r="AR163" s="129"/>
      <c r="AS163" s="129"/>
      <c r="AT163" s="129"/>
      <c r="AU163" s="129"/>
      <c r="AV163" s="129"/>
      <c r="AW163" s="129"/>
    </row>
    <row r="164" spans="1:49" ht="15.75" customHeight="1">
      <c r="A164" s="129"/>
      <c r="B164" s="129"/>
      <c r="C164" s="220"/>
      <c r="D164" s="225"/>
      <c r="E164" s="225"/>
      <c r="F164" s="225"/>
      <c r="G164" s="225"/>
      <c r="H164" s="147"/>
      <c r="I164" s="147"/>
      <c r="J164" s="147"/>
      <c r="K164" s="147"/>
      <c r="L164" s="249" t="str">
        <f>IF(AND(M103&gt;0,Switch_ShowExempt="Show"),"Sum of Area and UA (excluding exempt window)","Sum of Area and UA")</f>
        <v>Sum of Area and UA</v>
      </c>
      <c r="M164" s="288">
        <f>IF(O164&gt;0,"",SUBTOTAL(109,M104:M163))</f>
        <v>132.25</v>
      </c>
      <c r="N164" s="288">
        <f>IF(O164&gt;0,"Error",SUBTOTAL(109,N104:N163))</f>
        <v>39.674999999999997</v>
      </c>
      <c r="O164" s="298">
        <f>SUBTOTAL(109,O103:O163)</f>
        <v>0</v>
      </c>
      <c r="P164" s="434">
        <f>ROW(P163)-ROW(P103)+1-COUNTBLANK(P103:P163)</f>
        <v>0</v>
      </c>
      <c r="Q164" s="129"/>
      <c r="R164" s="220"/>
      <c r="S164" s="225"/>
      <c r="T164" s="225"/>
      <c r="U164" s="225"/>
      <c r="V164" s="225"/>
      <c r="W164" s="147"/>
      <c r="X164" s="147"/>
      <c r="Y164" s="147"/>
      <c r="Z164" s="147"/>
      <c r="AA164" s="249" t="s">
        <v>1363</v>
      </c>
      <c r="AB164" s="288">
        <f>IF(AD164&gt;0,"",SUBTOTAL(109,AB104:AB163))</f>
        <v>160</v>
      </c>
      <c r="AC164" s="288">
        <f>IF(AD164&gt;0,"Error",SUBTOTAL(109,AC104:AC163))</f>
        <v>48</v>
      </c>
      <c r="AD164" s="298">
        <f>SUBTOTAL(109,AD104:AD163)</f>
        <v>0</v>
      </c>
      <c r="AE164" s="434">
        <f>ROW(AE163)-ROW(AE104)+1-COUNTBLANK(AE104:AE163)</f>
        <v>0</v>
      </c>
      <c r="AF164" s="432"/>
      <c r="AG164" s="129"/>
      <c r="AH164" s="129"/>
      <c r="AI164" s="129"/>
      <c r="AJ164" s="129"/>
      <c r="AK164" s="129"/>
      <c r="AL164" s="129"/>
      <c r="AM164" s="129"/>
      <c r="AN164" s="129"/>
      <c r="AO164" s="129"/>
      <c r="AP164" s="129"/>
      <c r="AQ164" s="129"/>
      <c r="AR164" s="129"/>
      <c r="AS164" s="129"/>
      <c r="AT164" s="129"/>
      <c r="AU164" s="129"/>
      <c r="AV164" s="129"/>
      <c r="AW164" s="129"/>
    </row>
    <row r="165" spans="1:49" ht="15.75" customHeight="1">
      <c r="A165" s="129"/>
      <c r="B165" s="129"/>
      <c r="C165" s="220"/>
      <c r="D165" s="225"/>
      <c r="E165" s="225"/>
      <c r="F165" s="225"/>
      <c r="G165" s="225"/>
      <c r="H165" s="147"/>
      <c r="I165" s="147"/>
      <c r="J165" s="147"/>
      <c r="K165" s="147"/>
      <c r="L165" s="249" t="s">
        <v>2448</v>
      </c>
      <c r="M165" s="249"/>
      <c r="N165" s="296">
        <f>IFERROR(N164/M164,"")</f>
        <v>0.3</v>
      </c>
      <c r="O165" s="443">
        <f>IF(AND(N165&lt;&gt;"",N165&gt;0.48,Menu_ProjectType&lt;&gt;Item_ProjectType_RemodelAlteration),1,0)</f>
        <v>0</v>
      </c>
      <c r="P165" s="427" t="str">
        <f>IF(AND(N165&lt;&gt;"",N165&gt;0.48,Menu_ProjectType&lt;&gt;Item_ProjectType_RemodelAlteration),"Area-weighted average U-factor exceeds max permitted in Section R402.5","")</f>
        <v/>
      </c>
      <c r="Q165" s="129"/>
      <c r="R165" s="220"/>
      <c r="S165" s="225"/>
      <c r="T165" s="225"/>
      <c r="U165" s="225"/>
      <c r="V165" s="225"/>
      <c r="W165" s="147"/>
      <c r="X165" s="147"/>
      <c r="Y165" s="147"/>
      <c r="Z165" s="147"/>
      <c r="AA165" s="249" t="str">
        <f>L165</f>
        <v>Vertical Glazing Area Weighted U</v>
      </c>
      <c r="AB165" s="249"/>
      <c r="AC165" s="296">
        <f>IFERROR(AC164/AB164,"")</f>
        <v>0.3</v>
      </c>
      <c r="AD165" s="223"/>
      <c r="AE165" s="432"/>
      <c r="AF165" s="432"/>
      <c r="AG165" s="129"/>
      <c r="AH165" s="129"/>
      <c r="AI165" s="129"/>
      <c r="AJ165" s="129"/>
      <c r="AK165" s="129"/>
      <c r="AL165" s="129"/>
      <c r="AM165" s="129"/>
      <c r="AN165" s="129"/>
      <c r="AO165" s="129"/>
      <c r="AP165" s="129"/>
      <c r="AQ165" s="129"/>
      <c r="AR165" s="129"/>
      <c r="AS165" s="129"/>
      <c r="AT165" s="129"/>
      <c r="AU165" s="129"/>
      <c r="AV165" s="129"/>
      <c r="AW165" s="129"/>
    </row>
    <row r="166" spans="1:49" ht="15.75" customHeight="1">
      <c r="A166" s="129"/>
      <c r="B166" s="129"/>
      <c r="C166" s="220"/>
      <c r="D166" s="225"/>
      <c r="E166" s="225"/>
      <c r="F166" s="225"/>
      <c r="G166" s="225"/>
      <c r="H166" s="147"/>
      <c r="I166" s="147"/>
      <c r="J166" s="147"/>
      <c r="K166" s="147"/>
      <c r="L166" s="249" t="s">
        <v>2771</v>
      </c>
      <c r="M166" s="249"/>
      <c r="N166" s="296">
        <f>IFERROR((N164+N84)/(M164+M84),"Error")</f>
        <v>0.3</v>
      </c>
      <c r="O166" s="223"/>
      <c r="P166" s="432"/>
      <c r="Q166" s="129"/>
      <c r="R166" s="220"/>
      <c r="S166" s="225"/>
      <c r="T166" s="225"/>
      <c r="U166" s="225"/>
      <c r="V166" s="225"/>
      <c r="W166" s="147"/>
      <c r="X166" s="147"/>
      <c r="Y166" s="147"/>
      <c r="Z166" s="147"/>
      <c r="AA166" s="249" t="s">
        <v>2771</v>
      </c>
      <c r="AB166" s="249"/>
      <c r="AC166" s="296">
        <f>IFERROR((AC164+AC84)/(AB164+AB84),"Error")</f>
        <v>0.3</v>
      </c>
      <c r="AD166" s="223"/>
      <c r="AE166" s="432"/>
      <c r="AF166" s="432"/>
      <c r="AG166" s="129"/>
      <c r="AH166" s="129"/>
      <c r="AI166" s="129"/>
      <c r="AJ166" s="129"/>
      <c r="AK166" s="129"/>
      <c r="AL166" s="129"/>
      <c r="AM166" s="129"/>
      <c r="AN166" s="129"/>
      <c r="AO166" s="129"/>
      <c r="AP166" s="129"/>
      <c r="AQ166" s="129"/>
      <c r="AR166" s="129"/>
      <c r="AS166" s="129"/>
      <c r="AT166" s="129"/>
      <c r="AU166" s="129"/>
      <c r="AV166" s="129"/>
      <c r="AW166" s="129"/>
    </row>
    <row r="167" spans="1:49" ht="15.75" customHeight="1">
      <c r="A167" s="129"/>
      <c r="B167" s="129"/>
      <c r="C167" s="266"/>
      <c r="D167" s="137"/>
      <c r="E167" s="137"/>
      <c r="F167" s="137"/>
      <c r="G167" s="137"/>
      <c r="H167" s="137"/>
      <c r="I167" s="137"/>
      <c r="J167" s="137"/>
      <c r="K167" s="137"/>
      <c r="L167" s="299"/>
      <c r="M167" s="299"/>
      <c r="N167" s="300"/>
      <c r="O167" s="237"/>
      <c r="P167" s="432"/>
      <c r="Q167" s="129"/>
      <c r="R167" s="266"/>
      <c r="S167" s="137"/>
      <c r="T167" s="137"/>
      <c r="U167" s="137"/>
      <c r="V167" s="137"/>
      <c r="W167" s="137"/>
      <c r="X167" s="137"/>
      <c r="Y167" s="137"/>
      <c r="Z167" s="137"/>
      <c r="AA167" s="299"/>
      <c r="AB167" s="299"/>
      <c r="AC167" s="300"/>
      <c r="AD167" s="237"/>
      <c r="AE167" s="432"/>
      <c r="AF167" s="432"/>
      <c r="AG167" s="129"/>
      <c r="AH167" s="129"/>
      <c r="AI167" s="129"/>
      <c r="AJ167" s="129"/>
      <c r="AK167" s="129"/>
      <c r="AL167" s="129"/>
      <c r="AM167" s="129"/>
      <c r="AN167" s="129"/>
      <c r="AO167" s="129"/>
      <c r="AP167" s="129"/>
      <c r="AQ167" s="129"/>
      <c r="AR167" s="129"/>
      <c r="AS167" s="129"/>
      <c r="AT167" s="129"/>
      <c r="AU167" s="129"/>
      <c r="AV167" s="129"/>
      <c r="AW167" s="129"/>
    </row>
    <row r="168" spans="1:49" ht="15.75" customHeight="1">
      <c r="A168" s="129"/>
      <c r="B168" s="129"/>
      <c r="C168" s="129"/>
      <c r="D168" s="129"/>
      <c r="E168" s="129"/>
      <c r="F168" s="129"/>
      <c r="G168" s="129"/>
      <c r="H168" s="129"/>
      <c r="I168" s="129"/>
      <c r="J168" s="129"/>
      <c r="K168" s="129"/>
      <c r="L168" s="134"/>
      <c r="M168" s="134"/>
      <c r="N168" s="136"/>
      <c r="O168" s="129"/>
      <c r="P168" s="432"/>
      <c r="Q168" s="129"/>
      <c r="R168" s="129"/>
      <c r="S168" s="129"/>
      <c r="T168" s="129"/>
      <c r="U168" s="129"/>
      <c r="V168" s="129"/>
      <c r="W168" s="129"/>
      <c r="X168" s="129"/>
      <c r="Y168" s="129"/>
      <c r="Z168" s="129"/>
      <c r="AA168" s="134"/>
      <c r="AB168" s="134"/>
      <c r="AC168" s="136"/>
      <c r="AD168" s="129"/>
      <c r="AE168" s="432"/>
      <c r="AF168" s="432"/>
      <c r="AG168" s="129"/>
      <c r="AH168" s="129"/>
      <c r="AI168" s="129"/>
      <c r="AJ168" s="129"/>
      <c r="AK168" s="129"/>
      <c r="AL168" s="129"/>
      <c r="AM168" s="129"/>
      <c r="AN168" s="129"/>
      <c r="AO168" s="129"/>
      <c r="AP168" s="129"/>
      <c r="AQ168" s="129"/>
      <c r="AR168" s="129"/>
      <c r="AS168" s="129"/>
      <c r="AT168" s="129"/>
      <c r="AU168" s="129"/>
      <c r="AV168" s="129"/>
      <c r="AW168" s="129"/>
    </row>
    <row r="169" spans="1:49" ht="20.100000000000001" customHeight="1">
      <c r="A169" s="588"/>
      <c r="B169" s="588"/>
      <c r="C169" s="253"/>
      <c r="D169" s="262" t="s">
        <v>1966</v>
      </c>
      <c r="E169" s="254"/>
      <c r="F169" s="322"/>
      <c r="G169" s="276"/>
      <c r="H169" s="276"/>
      <c r="I169" s="276"/>
      <c r="J169" s="276"/>
      <c r="K169" s="276"/>
      <c r="L169" s="276"/>
      <c r="M169" s="276"/>
      <c r="N169" s="276"/>
      <c r="O169" s="255"/>
      <c r="P169" s="432"/>
      <c r="Q169" s="129"/>
      <c r="R169" s="329"/>
      <c r="S169" s="267" t="s">
        <v>1966</v>
      </c>
      <c r="T169" s="330"/>
      <c r="U169" s="336"/>
      <c r="V169" s="331"/>
      <c r="W169" s="331"/>
      <c r="X169" s="331"/>
      <c r="Y169" s="331"/>
      <c r="Z169" s="331"/>
      <c r="AA169" s="331"/>
      <c r="AB169" s="331"/>
      <c r="AC169" s="331"/>
      <c r="AD169" s="332"/>
      <c r="AE169" s="432"/>
      <c r="AF169" s="432"/>
      <c r="AG169" s="129"/>
      <c r="AH169" s="129"/>
      <c r="AI169" s="129"/>
      <c r="AJ169" s="129"/>
      <c r="AK169" s="129"/>
      <c r="AL169" s="129"/>
      <c r="AM169" s="129"/>
      <c r="AN169" s="129"/>
      <c r="AO169" s="129"/>
      <c r="AP169" s="129"/>
      <c r="AQ169" s="129"/>
      <c r="AR169" s="129"/>
      <c r="AS169" s="129"/>
      <c r="AT169" s="129"/>
      <c r="AU169" s="129"/>
      <c r="AV169" s="129"/>
      <c r="AW169" s="129"/>
    </row>
    <row r="170" spans="1:49" ht="15.75" customHeight="1">
      <c r="A170" s="129"/>
      <c r="B170" s="129"/>
      <c r="C170" s="216"/>
      <c r="D170" s="290" t="s">
        <v>1337</v>
      </c>
      <c r="E170" s="301" t="s">
        <v>1339</v>
      </c>
      <c r="F170" s="1157" t="s">
        <v>1354</v>
      </c>
      <c r="G170" s="291" t="s">
        <v>1357</v>
      </c>
      <c r="H170" s="314"/>
      <c r="I170" s="314"/>
      <c r="J170" s="314"/>
      <c r="K170" s="314"/>
      <c r="L170" s="314"/>
      <c r="M170" s="1165" t="s">
        <v>1343</v>
      </c>
      <c r="N170" s="1165" t="s">
        <v>1344</v>
      </c>
      <c r="O170" s="219"/>
      <c r="P170" s="432"/>
      <c r="Q170" s="129"/>
      <c r="R170" s="334" t="s">
        <v>1350</v>
      </c>
      <c r="S170" s="290" t="s">
        <v>1337</v>
      </c>
      <c r="T170" s="301" t="s">
        <v>1339</v>
      </c>
      <c r="U170" s="1157" t="s">
        <v>1354</v>
      </c>
      <c r="V170" s="291" t="s">
        <v>1357</v>
      </c>
      <c r="W170" s="314"/>
      <c r="X170" s="314"/>
      <c r="Y170" s="314"/>
      <c r="Z170" s="314"/>
      <c r="AA170" s="314"/>
      <c r="AB170" s="1165" t="s">
        <v>1343</v>
      </c>
      <c r="AC170" s="1165" t="s">
        <v>1344</v>
      </c>
      <c r="AD170" s="219"/>
      <c r="AE170" s="432"/>
      <c r="AF170" s="432"/>
      <c r="AG170" s="129"/>
      <c r="AH170" s="129"/>
      <c r="AI170" s="129"/>
      <c r="AJ170" s="129"/>
      <c r="AK170" s="129"/>
      <c r="AL170" s="129"/>
      <c r="AM170" s="129"/>
      <c r="AN170" s="129"/>
      <c r="AO170" s="129"/>
      <c r="AP170" s="129"/>
      <c r="AQ170" s="129"/>
      <c r="AR170" s="129"/>
      <c r="AS170" s="129"/>
      <c r="AT170" s="129"/>
      <c r="AU170" s="129"/>
      <c r="AV170" s="129"/>
      <c r="AW170" s="129"/>
    </row>
    <row r="171" spans="1:49" ht="15.75" customHeight="1">
      <c r="A171" s="129"/>
      <c r="B171" s="129"/>
      <c r="C171" s="220"/>
      <c r="D171" s="293" t="s">
        <v>1338</v>
      </c>
      <c r="E171" s="295" t="s">
        <v>1340</v>
      </c>
      <c r="F171" s="1158"/>
      <c r="G171" s="293" t="s">
        <v>1342</v>
      </c>
      <c r="H171" s="315"/>
      <c r="I171" s="315"/>
      <c r="J171" s="315"/>
      <c r="K171" s="315"/>
      <c r="L171" s="315"/>
      <c r="M171" s="1166"/>
      <c r="N171" s="1166"/>
      <c r="O171" s="223"/>
      <c r="P171" s="432"/>
      <c r="Q171" s="129"/>
      <c r="R171" s="333" t="s">
        <v>1350</v>
      </c>
      <c r="S171" s="293" t="s">
        <v>1338</v>
      </c>
      <c r="T171" s="295" t="s">
        <v>1340</v>
      </c>
      <c r="U171" s="1158"/>
      <c r="V171" s="293" t="s">
        <v>1342</v>
      </c>
      <c r="W171" s="315"/>
      <c r="X171" s="315"/>
      <c r="Y171" s="315"/>
      <c r="Z171" s="315"/>
      <c r="AA171" s="315"/>
      <c r="AB171" s="1166"/>
      <c r="AC171" s="1166"/>
      <c r="AD171" s="223"/>
      <c r="AE171" s="432"/>
      <c r="AF171" s="432"/>
      <c r="AG171" s="129"/>
      <c r="AH171" s="129"/>
      <c r="AI171" s="129"/>
      <c r="AJ171" s="129"/>
      <c r="AK171" s="129"/>
      <c r="AL171" s="129"/>
      <c r="AM171" s="129"/>
      <c r="AN171" s="129"/>
      <c r="AO171" s="129"/>
      <c r="AP171" s="129"/>
      <c r="AQ171" s="129"/>
      <c r="AR171" s="129"/>
      <c r="AS171" s="129"/>
      <c r="AT171" s="129"/>
      <c r="AU171" s="129"/>
      <c r="AV171" s="129"/>
      <c r="AW171" s="129"/>
    </row>
    <row r="172" spans="1:49" ht="15.75" customHeight="1">
      <c r="A172" s="129"/>
      <c r="B172" s="129"/>
      <c r="C172" s="220"/>
      <c r="D172" s="327" t="s">
        <v>3231</v>
      </c>
      <c r="E172" s="140" t="s">
        <v>1705</v>
      </c>
      <c r="F172" s="294" t="str">
        <f>IFERROR(VLOOKUP($E172,Table_FlatVaultedCeilings,2,FALSE),"")</f>
        <v>10-7</v>
      </c>
      <c r="G172" s="318">
        <f>IFERROR(VLOOKUP($E172,Table_FlatVaultedCeilings,3,FALSE),+"")</f>
        <v>0.02</v>
      </c>
      <c r="H172" s="757"/>
      <c r="I172" s="239"/>
      <c r="J172" s="239"/>
      <c r="K172" s="239"/>
      <c r="L172" s="761" t="str">
        <f t="shared" ref="L172" si="48">IF(AND(F172="NA",M172&lt;&gt;""), "Leave area blank","")</f>
        <v/>
      </c>
      <c r="M172" s="128">
        <v>1578</v>
      </c>
      <c r="N172" s="320">
        <f>IFERROR(G172*M172,"")</f>
        <v>31.560000000000002</v>
      </c>
      <c r="O172" s="437">
        <f t="shared" ref="O172" si="49">IF(L172&lt;&gt;"",1,IF(F172="NA",0,IF(AND(TRIM(E172)&lt;&gt;"",OR(ISNUMBER(M172)=FALSE,G172="")),1,IF(AND(TRIM(E172)="",G172="",TRIM(M172)=""),0,IF(AND(F172="Custom",G172=0),1,IF(AND(G172&lt;&gt;"",N172=0),1,IF(AND(G172="",M172&gt;0),1,0)))))))</f>
        <v>0</v>
      </c>
      <c r="P172" s="427" t="str">
        <f>IF(F172="Custom",IF(G172=0,"U-value missing in Custom Input","Refer to WSEC R402.1.5 U-factor Reference and Calculations"),"")</f>
        <v/>
      </c>
      <c r="Q172" s="129"/>
      <c r="R172" s="333" t="s">
        <v>1350</v>
      </c>
      <c r="S172" s="127"/>
      <c r="T172" s="141" t="s">
        <v>3096</v>
      </c>
      <c r="U172" s="294" t="str">
        <f>IFERROR(VLOOKUP(T172,Table_FlatVaultedCeilings,2,FALSE),"")</f>
        <v>10-7</v>
      </c>
      <c r="V172" s="318">
        <f>IFERROR(VLOOKUP(T172,Table_FlatVaultedCeilings,3,FALSE),+"")</f>
        <v>0.02</v>
      </c>
      <c r="W172" s="240"/>
      <c r="X172" s="240"/>
      <c r="Y172" s="240"/>
      <c r="Z172" s="240"/>
      <c r="AA172" s="240"/>
      <c r="AB172" s="128">
        <v>491</v>
      </c>
      <c r="AC172" s="320">
        <f>IFERROR(V172*AB172,"")</f>
        <v>9.82</v>
      </c>
      <c r="AD172" s="437">
        <f t="shared" ref="AD172:AD175" si="50">IF(AND(T172&lt;&gt;"",OR(ISNUMBER(AB172)=FALSE,V172="")),1,IF(AND(T172="",V172="",AB172=""),0,IF(AND(U172="Custom",V172=0),1,IF(AND(V172&lt;&gt;"",AC172=0),1,IF(AND(V172="",AB172&gt;0),1,0)))))</f>
        <v>0</v>
      </c>
      <c r="AE172" s="427" t="str">
        <f>IF(U172="Custom","Refer to WSEC R402.1.5 U-factor Reference and Calculations","")</f>
        <v/>
      </c>
      <c r="AF172" s="432"/>
      <c r="AG172" s="129"/>
      <c r="AH172" s="129"/>
      <c r="AI172" s="129"/>
      <c r="AJ172" s="129"/>
      <c r="AK172" s="129"/>
      <c r="AL172" s="129"/>
      <c r="AM172" s="129"/>
      <c r="AN172" s="129"/>
      <c r="AO172" s="129"/>
      <c r="AP172" s="129"/>
      <c r="AQ172" s="129"/>
      <c r="AR172" s="129"/>
      <c r="AS172" s="129"/>
      <c r="AT172" s="129"/>
      <c r="AU172" s="129"/>
      <c r="AV172" s="129"/>
      <c r="AW172" s="129"/>
    </row>
    <row r="173" spans="1:49" ht="15.75" customHeight="1">
      <c r="A173" s="129"/>
      <c r="B173" s="129"/>
      <c r="C173" s="220"/>
      <c r="D173" s="70"/>
      <c r="E173" s="140" t="s">
        <v>1350</v>
      </c>
      <c r="F173" s="283" t="str">
        <f>IFERROR(VLOOKUP($E173,Table_FlatVaultedCeilings,2,FALSE),"")</f>
        <v/>
      </c>
      <c r="G173" s="319" t="str">
        <f>IFERROR(VLOOKUP($E173,Table_FlatVaultedCeilings,3,FALSE),+"")</f>
        <v/>
      </c>
      <c r="H173" s="758"/>
      <c r="I173" s="240"/>
      <c r="J173" s="240"/>
      <c r="K173" s="240"/>
      <c r="L173" s="761" t="str">
        <f>IF(AND(F173="NA",M173&lt;&gt;""), "Error: Leave area blank","")</f>
        <v/>
      </c>
      <c r="M173" s="128"/>
      <c r="N173" s="286" t="str">
        <f>IFERROR(G173*M173,"")</f>
        <v/>
      </c>
      <c r="O173" s="437">
        <f>IF(L173&lt;&gt;"",1,IF(F173="NA",0,IF(AND(TRIM(E173)&lt;&gt;"",OR(ISNUMBER(M173)=FALSE,G173="")),1,IF(AND(TRIM(E173)="",G173="",TRIM(M173)=""),0,IF(AND(F173="Custom",G173=0),1,IF(AND(G173&lt;&gt;"",N173=0),1,IF(AND(G173="",M173&gt;0),1,0)))))))</f>
        <v>0</v>
      </c>
      <c r="P173" s="427" t="str">
        <f>IF(F173="Custom",IF(G173=0,"U-value missing in Custom Input","Refer to WSEC R402.1.5 U-factor Reference and Calculations"),"")</f>
        <v/>
      </c>
      <c r="Q173" s="129"/>
      <c r="R173" s="333" t="s">
        <v>1350</v>
      </c>
      <c r="S173" s="70"/>
      <c r="T173" s="140"/>
      <c r="U173" s="294" t="str">
        <f>IFERROR(VLOOKUP(T173,Table_FlatVaultedCeilings,2,FALSE),"")</f>
        <v/>
      </c>
      <c r="V173" s="318" t="str">
        <f>IFERROR(VLOOKUP(T173,Table_FlatVaultedCeilings,3,FALSE),+"")</f>
        <v/>
      </c>
      <c r="W173" s="240"/>
      <c r="X173" s="240"/>
      <c r="Y173" s="240"/>
      <c r="Z173" s="240"/>
      <c r="AA173" s="240"/>
      <c r="AB173" s="74"/>
      <c r="AC173" s="286" t="str">
        <f>IFERROR(V173*AB173,"")</f>
        <v/>
      </c>
      <c r="AD173" s="437">
        <f t="shared" si="50"/>
        <v>0</v>
      </c>
      <c r="AE173" s="427" t="str">
        <f>IF(U173="Custom","Refer to WSEC R402.1.5 U-factor Reference and Calculations","")</f>
        <v/>
      </c>
      <c r="AF173" s="432"/>
      <c r="AG173" s="129"/>
      <c r="AH173" s="129"/>
      <c r="AI173" s="129"/>
      <c r="AJ173" s="129"/>
      <c r="AK173" s="129"/>
      <c r="AL173" s="129"/>
      <c r="AM173" s="129"/>
      <c r="AN173" s="129"/>
      <c r="AO173" s="129"/>
      <c r="AP173" s="129"/>
      <c r="AQ173" s="129"/>
      <c r="AR173" s="129"/>
      <c r="AS173" s="129"/>
      <c r="AT173" s="129"/>
      <c r="AU173" s="129"/>
      <c r="AV173" s="129"/>
      <c r="AW173" s="129"/>
    </row>
    <row r="174" spans="1:49" ht="15.75" customHeight="1">
      <c r="A174" s="129"/>
      <c r="B174" s="129"/>
      <c r="C174" s="220"/>
      <c r="D174" s="70"/>
      <c r="E174" s="140"/>
      <c r="F174" s="283" t="str">
        <f>IFERROR(VLOOKUP($E174,Table_FlatVaultedCeilings,2,FALSE),"")</f>
        <v/>
      </c>
      <c r="G174" s="319" t="str">
        <f>IFERROR(VLOOKUP($E174,Table_FlatVaultedCeilings,3,FALSE),+"")</f>
        <v/>
      </c>
      <c r="H174" s="758"/>
      <c r="I174" s="240"/>
      <c r="J174" s="240"/>
      <c r="K174" s="240"/>
      <c r="L174" s="437" t="str">
        <f t="shared" ref="L174:L175" si="51">IF(AND(F174="NA",M174&lt;&gt;""), "Leave area blank","")</f>
        <v/>
      </c>
      <c r="M174" s="79"/>
      <c r="N174" s="286" t="str">
        <f>IFERROR(G174*M174,"")</f>
        <v/>
      </c>
      <c r="O174" s="437">
        <f t="shared" ref="O174:O175" si="52">IF(L174&lt;&gt;"",1,IF(F174="NA",0,IF(AND(TRIM(E174)&lt;&gt;"",OR(ISNUMBER(M174)=FALSE,G174="")),1,IF(AND(TRIM(E174)="",G174="",TRIM(M174)=""),0,IF(AND(F174="Custom",G174=0),1,IF(AND(G174&lt;&gt;"",N174=0),1,IF(AND(G174="",M174&gt;0),1,0)))))))</f>
        <v>0</v>
      </c>
      <c r="P174" s="427" t="str">
        <f>IF(F174="Custom",IF(G174=0,"U-value missing in Custom Input","Refer to WSEC R402.1.5 U-factor Reference and Calculations"),"")</f>
        <v/>
      </c>
      <c r="Q174" s="129"/>
      <c r="R174" s="333" t="s">
        <v>1350</v>
      </c>
      <c r="S174" s="70"/>
      <c r="T174" s="140"/>
      <c r="U174" s="294" t="str">
        <f>IFERROR(VLOOKUP(T174,Table_FlatVaultedCeilings,2,FALSE),"")</f>
        <v/>
      </c>
      <c r="V174" s="318" t="str">
        <f>IFERROR(VLOOKUP(T174,Table_FlatVaultedCeilings,3,FALSE),+"")</f>
        <v/>
      </c>
      <c r="W174" s="240"/>
      <c r="X174" s="240"/>
      <c r="Y174" s="240"/>
      <c r="Z174" s="240"/>
      <c r="AA174" s="240"/>
      <c r="AB174" s="74"/>
      <c r="AC174" s="286" t="str">
        <f>IFERROR(V174*AB174,"")</f>
        <v/>
      </c>
      <c r="AD174" s="437">
        <f t="shared" si="50"/>
        <v>0</v>
      </c>
      <c r="AE174" s="427" t="str">
        <f>IF(U174="Custom","Refer to WSEC R402.1.5 U-factor Reference and Calculations","")</f>
        <v/>
      </c>
      <c r="AF174" s="432"/>
      <c r="AG174" s="129"/>
      <c r="AH174" s="129"/>
      <c r="AI174" s="129"/>
      <c r="AJ174" s="129"/>
      <c r="AK174" s="129"/>
      <c r="AL174" s="129"/>
      <c r="AM174" s="129"/>
      <c r="AN174" s="129"/>
      <c r="AO174" s="129"/>
      <c r="AP174" s="129"/>
      <c r="AQ174" s="129"/>
      <c r="AR174" s="129"/>
      <c r="AS174" s="129"/>
      <c r="AT174" s="129"/>
      <c r="AU174" s="129"/>
      <c r="AV174" s="129"/>
      <c r="AW174" s="129"/>
    </row>
    <row r="175" spans="1:49" ht="15.75" customHeight="1">
      <c r="A175" s="129"/>
      <c r="B175" s="129"/>
      <c r="C175" s="220"/>
      <c r="D175" s="70"/>
      <c r="E175" s="140" t="s">
        <v>1350</v>
      </c>
      <c r="F175" s="283" t="str">
        <f>IFERROR(VLOOKUP($E175,Table_FlatVaultedCeilings,2,FALSE),"")</f>
        <v/>
      </c>
      <c r="G175" s="319" t="str">
        <f>IFERROR(VLOOKUP($E175,Table_FlatVaultedCeilings,3,FALSE),+"")</f>
        <v/>
      </c>
      <c r="H175" s="759"/>
      <c r="I175" s="241"/>
      <c r="J175" s="241"/>
      <c r="K175" s="241"/>
      <c r="L175" s="760" t="str">
        <f t="shared" si="51"/>
        <v/>
      </c>
      <c r="M175" s="79"/>
      <c r="N175" s="286" t="str">
        <f>IFERROR(G175*M175,"")</f>
        <v/>
      </c>
      <c r="O175" s="437">
        <f t="shared" si="52"/>
        <v>0</v>
      </c>
      <c r="P175" s="427" t="str">
        <f>IF(F175="Custom",IF(G175=0,"U-value missing in Custom Input","Refer to WSEC R402.1.5 U-factor Reference and Calculations"),"")</f>
        <v/>
      </c>
      <c r="Q175" s="129"/>
      <c r="R175" s="333" t="s">
        <v>1350</v>
      </c>
      <c r="S175" s="70"/>
      <c r="T175" s="140"/>
      <c r="U175" s="294" t="str">
        <f>IFERROR(VLOOKUP(T175,Table_FlatVaultedCeilings,2,FALSE),"")</f>
        <v/>
      </c>
      <c r="V175" s="318" t="str">
        <f>IFERROR(VLOOKUP(T175,Table_FlatVaultedCeilings,3,FALSE),+"")</f>
        <v/>
      </c>
      <c r="W175" s="241"/>
      <c r="X175" s="241"/>
      <c r="Y175" s="241"/>
      <c r="Z175" s="241"/>
      <c r="AA175" s="241"/>
      <c r="AB175" s="74"/>
      <c r="AC175" s="286" t="str">
        <f>IFERROR(V175*AB175,"")</f>
        <v/>
      </c>
      <c r="AD175" s="437">
        <f t="shared" si="50"/>
        <v>0</v>
      </c>
      <c r="AE175" s="427" t="str">
        <f>IF(U175="Custom","Refer to WSEC R402.1.5 U-factor Reference and Calculations","")</f>
        <v/>
      </c>
      <c r="AF175" s="432"/>
      <c r="AG175" s="129"/>
      <c r="AH175" s="129"/>
      <c r="AI175" s="129"/>
      <c r="AJ175" s="129"/>
      <c r="AK175" s="129"/>
      <c r="AL175" s="129"/>
      <c r="AM175" s="129"/>
      <c r="AN175" s="129"/>
      <c r="AO175" s="129"/>
      <c r="AP175" s="129"/>
      <c r="AQ175" s="129"/>
      <c r="AR175" s="129"/>
      <c r="AS175" s="129"/>
      <c r="AT175" s="129"/>
      <c r="AU175" s="129"/>
      <c r="AV175" s="129"/>
      <c r="AW175" s="129"/>
    </row>
    <row r="176" spans="1:49" ht="15.75" customHeight="1">
      <c r="A176" s="129"/>
      <c r="B176" s="129"/>
      <c r="C176" s="220"/>
      <c r="D176" s="225"/>
      <c r="E176" s="225"/>
      <c r="F176" s="270"/>
      <c r="G176" s="225"/>
      <c r="H176" s="1167" t="s">
        <v>1363</v>
      </c>
      <c r="I176" s="1167"/>
      <c r="J176" s="1167"/>
      <c r="K176" s="1167"/>
      <c r="L176" s="1168"/>
      <c r="M176" s="316">
        <f>IF(O176&gt;0,"",SUM(M172:M175))</f>
        <v>1578</v>
      </c>
      <c r="N176" s="317">
        <f>IF(O176&gt;0,"Error",SUM(N172:N175))</f>
        <v>31.560000000000002</v>
      </c>
      <c r="O176" s="297">
        <f>SUM(O172:O175)</f>
        <v>0</v>
      </c>
      <c r="P176" s="434">
        <f>ROW(P175)-ROW(P172)+1-COUNTBLANK(P172:P175)</f>
        <v>0</v>
      </c>
      <c r="Q176" s="129"/>
      <c r="R176" s="333" t="s">
        <v>1350</v>
      </c>
      <c r="S176" s="225"/>
      <c r="T176" s="225"/>
      <c r="U176" s="270"/>
      <c r="V176" s="225"/>
      <c r="W176" s="1167" t="s">
        <v>1363</v>
      </c>
      <c r="X176" s="1167"/>
      <c r="Y176" s="1167"/>
      <c r="Z176" s="1167"/>
      <c r="AA176" s="1168"/>
      <c r="AB176" s="316">
        <f>IF(AD176&gt;0,"",SUM(AB172:AB175))</f>
        <v>491</v>
      </c>
      <c r="AC176" s="317">
        <f>IF(AD176&gt;0,"Error",SUM(AC172:AC175))</f>
        <v>9.82</v>
      </c>
      <c r="AD176" s="297">
        <f>SUM(AD172:AD175)</f>
        <v>0</v>
      </c>
      <c r="AE176" s="434">
        <f>ROW(AE175)-ROW(AE172)+1-COUNTBLANK(AE172:AE175)</f>
        <v>0</v>
      </c>
      <c r="AF176" s="432"/>
      <c r="AG176" s="129"/>
      <c r="AH176" s="129"/>
      <c r="AI176" s="129"/>
      <c r="AJ176" s="129"/>
      <c r="AK176" s="129"/>
      <c r="AL176" s="129"/>
      <c r="AM176" s="129"/>
      <c r="AN176" s="129"/>
      <c r="AO176" s="129"/>
      <c r="AP176" s="129"/>
      <c r="AQ176" s="129"/>
      <c r="AR176" s="129"/>
      <c r="AS176" s="129"/>
      <c r="AT176" s="129"/>
      <c r="AU176" s="129"/>
      <c r="AV176" s="129"/>
      <c r="AW176" s="129"/>
    </row>
    <row r="177" spans="1:49" ht="15.75" customHeight="1">
      <c r="A177" s="129"/>
      <c r="B177" s="129"/>
      <c r="C177" s="220"/>
      <c r="D177" s="225"/>
      <c r="E177" s="225"/>
      <c r="F177" s="270"/>
      <c r="G177" s="225"/>
      <c r="H177" s="249"/>
      <c r="I177" s="249"/>
      <c r="J177" s="249"/>
      <c r="K177" s="249"/>
      <c r="L177" s="249" t="s">
        <v>3208</v>
      </c>
      <c r="M177" s="249"/>
      <c r="N177" s="296">
        <f>IFERROR(N176/M176,"")</f>
        <v>0.02</v>
      </c>
      <c r="O177" s="297"/>
      <c r="P177" s="434"/>
      <c r="Q177" s="129"/>
      <c r="R177" s="333"/>
      <c r="S177" s="225"/>
      <c r="T177" s="225"/>
      <c r="U177" s="270"/>
      <c r="V177" s="225"/>
      <c r="W177" s="249"/>
      <c r="X177" s="249"/>
      <c r="Y177" s="249"/>
      <c r="Z177" s="249"/>
      <c r="AA177" s="249" t="s">
        <v>3208</v>
      </c>
      <c r="AB177" s="249"/>
      <c r="AC177" s="296">
        <f>IFERROR(AC176/AB176,"")</f>
        <v>0.02</v>
      </c>
      <c r="AD177" s="297"/>
      <c r="AE177" s="434"/>
      <c r="AF177" s="432"/>
      <c r="AG177" s="129"/>
      <c r="AH177" s="129"/>
      <c r="AI177" s="129"/>
      <c r="AJ177" s="129"/>
      <c r="AK177" s="129"/>
      <c r="AL177" s="129"/>
      <c r="AM177" s="129"/>
      <c r="AN177" s="129"/>
      <c r="AO177" s="129"/>
      <c r="AP177" s="129"/>
      <c r="AQ177" s="129"/>
      <c r="AR177" s="129"/>
      <c r="AS177" s="129"/>
      <c r="AT177" s="129"/>
      <c r="AU177" s="129"/>
      <c r="AV177" s="129"/>
      <c r="AW177" s="129"/>
    </row>
    <row r="178" spans="1:49" ht="15.75" customHeight="1">
      <c r="A178" s="129"/>
      <c r="B178" s="129"/>
      <c r="C178" s="266"/>
      <c r="D178" s="137"/>
      <c r="E178" s="137"/>
      <c r="F178" s="272"/>
      <c r="G178" s="137"/>
      <c r="H178" s="137"/>
      <c r="I178" s="137"/>
      <c r="J178" s="137"/>
      <c r="K178" s="137"/>
      <c r="L178" s="137"/>
      <c r="M178" s="321"/>
      <c r="N178" s="1058"/>
      <c r="O178" s="237"/>
      <c r="P178" s="432"/>
      <c r="Q178" s="129"/>
      <c r="R178" s="335" t="s">
        <v>1350</v>
      </c>
      <c r="S178" s="137"/>
      <c r="T178" s="137"/>
      <c r="U178" s="272"/>
      <c r="V178" s="137"/>
      <c r="W178" s="137"/>
      <c r="X178" s="137"/>
      <c r="Y178" s="137"/>
      <c r="Z178" s="137"/>
      <c r="AA178" s="137"/>
      <c r="AB178" s="321"/>
      <c r="AC178" s="137"/>
      <c r="AD178" s="237"/>
      <c r="AE178" s="432"/>
      <c r="AF178" s="432"/>
      <c r="AG178" s="129"/>
      <c r="AH178" s="129"/>
      <c r="AI178" s="129"/>
      <c r="AJ178" s="129"/>
      <c r="AK178" s="129"/>
      <c r="AL178" s="129"/>
      <c r="AM178" s="129"/>
      <c r="AN178" s="129"/>
      <c r="AO178" s="129"/>
      <c r="AP178" s="129"/>
      <c r="AQ178" s="129"/>
      <c r="AR178" s="129"/>
      <c r="AS178" s="129"/>
      <c r="AT178" s="129"/>
      <c r="AU178" s="129"/>
      <c r="AV178" s="129"/>
      <c r="AW178" s="129"/>
    </row>
    <row r="179" spans="1:49" ht="15.75" customHeight="1">
      <c r="A179" s="129"/>
      <c r="B179" s="129"/>
      <c r="C179" s="129"/>
      <c r="D179" s="129"/>
      <c r="E179" s="129"/>
      <c r="F179" s="142"/>
      <c r="G179" s="129"/>
      <c r="H179" s="129"/>
      <c r="I179" s="129"/>
      <c r="J179" s="129"/>
      <c r="K179" s="129"/>
      <c r="L179" s="129"/>
      <c r="M179" s="143"/>
      <c r="N179" s="129"/>
      <c r="O179" s="129"/>
      <c r="P179" s="432"/>
      <c r="Q179" s="129"/>
      <c r="R179" s="129"/>
      <c r="S179" s="129"/>
      <c r="T179" s="129"/>
      <c r="U179" s="142"/>
      <c r="V179" s="129"/>
      <c r="W179" s="129"/>
      <c r="X179" s="129"/>
      <c r="Y179" s="129"/>
      <c r="Z179" s="129"/>
      <c r="AA179" s="129"/>
      <c r="AB179" s="143"/>
      <c r="AC179" s="129"/>
      <c r="AD179" s="129"/>
      <c r="AE179" s="432"/>
      <c r="AF179" s="432"/>
      <c r="AG179" s="129"/>
      <c r="AH179" s="129"/>
      <c r="AI179" s="129"/>
      <c r="AJ179" s="129"/>
      <c r="AK179" s="129"/>
      <c r="AL179" s="129"/>
      <c r="AM179" s="129"/>
      <c r="AN179" s="129"/>
      <c r="AO179" s="129"/>
      <c r="AP179" s="129"/>
      <c r="AQ179" s="129"/>
      <c r="AR179" s="129"/>
      <c r="AS179" s="129"/>
      <c r="AT179" s="129"/>
      <c r="AU179" s="129"/>
      <c r="AV179" s="129"/>
      <c r="AW179" s="129"/>
    </row>
    <row r="180" spans="1:49" ht="19.5" customHeight="1">
      <c r="A180" s="129"/>
      <c r="C180" s="253"/>
      <c r="D180" s="262" t="s">
        <v>1358</v>
      </c>
      <c r="E180" s="254"/>
      <c r="F180" s="322"/>
      <c r="G180" s="276"/>
      <c r="H180" s="276"/>
      <c r="I180" s="276"/>
      <c r="J180" s="276"/>
      <c r="K180" s="276"/>
      <c r="L180" s="276"/>
      <c r="M180" s="276"/>
      <c r="N180" s="276"/>
      <c r="O180" s="255"/>
      <c r="P180" s="432"/>
      <c r="Q180" s="144"/>
      <c r="R180" s="253"/>
      <c r="S180" s="262" t="s">
        <v>1358</v>
      </c>
      <c r="T180" s="254"/>
      <c r="U180" s="322"/>
      <c r="V180" s="276"/>
      <c r="W180" s="276"/>
      <c r="X180" s="276"/>
      <c r="Y180" s="276"/>
      <c r="Z180" s="276"/>
      <c r="AA180" s="276"/>
      <c r="AB180" s="276"/>
      <c r="AC180" s="276"/>
      <c r="AD180" s="255"/>
      <c r="AE180" s="432"/>
      <c r="AF180" s="432"/>
      <c r="AG180" s="129"/>
      <c r="AH180" s="129"/>
      <c r="AI180" s="129"/>
      <c r="AJ180" s="129"/>
      <c r="AK180" s="129"/>
      <c r="AL180" s="129"/>
      <c r="AM180" s="129"/>
      <c r="AN180" s="129"/>
      <c r="AO180" s="129"/>
      <c r="AP180" s="129"/>
      <c r="AQ180" s="129"/>
      <c r="AR180" s="129"/>
      <c r="AS180" s="129"/>
      <c r="AT180" s="129"/>
      <c r="AU180" s="129"/>
      <c r="AV180" s="129"/>
      <c r="AW180" s="129"/>
    </row>
    <row r="181" spans="1:49" ht="15.75" customHeight="1">
      <c r="A181" s="129"/>
      <c r="B181" s="129"/>
      <c r="C181" s="216"/>
      <c r="D181" s="289" t="s">
        <v>1337</v>
      </c>
      <c r="E181" s="290" t="s">
        <v>1339</v>
      </c>
      <c r="F181" s="337"/>
      <c r="G181" s="291" t="s">
        <v>1341</v>
      </c>
      <c r="H181" s="338"/>
      <c r="I181" s="338"/>
      <c r="J181" s="338"/>
      <c r="K181" s="338"/>
      <c r="L181" s="338"/>
      <c r="M181" s="1186" t="s">
        <v>1913</v>
      </c>
      <c r="N181" s="290"/>
      <c r="O181" s="341"/>
      <c r="P181" s="432"/>
      <c r="Q181" s="129"/>
      <c r="R181" s="216"/>
      <c r="S181" s="289" t="s">
        <v>1337</v>
      </c>
      <c r="T181" s="290" t="s">
        <v>1339</v>
      </c>
      <c r="U181" s="337"/>
      <c r="V181" s="291" t="s">
        <v>1341</v>
      </c>
      <c r="W181" s="338"/>
      <c r="X181" s="338"/>
      <c r="Y181" s="338"/>
      <c r="Z181" s="338"/>
      <c r="AA181" s="338"/>
      <c r="AB181" s="1186" t="s">
        <v>1913</v>
      </c>
      <c r="AC181" s="290"/>
      <c r="AD181" s="341"/>
      <c r="AE181" s="432"/>
      <c r="AF181" s="432"/>
      <c r="AG181" s="129"/>
      <c r="AH181" s="129"/>
      <c r="AI181" s="129"/>
      <c r="AJ181" s="129"/>
      <c r="AK181" s="129"/>
      <c r="AL181" s="129"/>
      <c r="AM181" s="129"/>
      <c r="AN181" s="129"/>
      <c r="AO181" s="129"/>
      <c r="AP181" s="129"/>
      <c r="AQ181" s="129"/>
      <c r="AR181" s="129"/>
      <c r="AS181" s="129"/>
      <c r="AT181" s="129"/>
      <c r="AU181" s="129"/>
      <c r="AV181" s="129"/>
      <c r="AW181" s="129"/>
    </row>
    <row r="182" spans="1:49" ht="15.75" customHeight="1">
      <c r="A182" s="129"/>
      <c r="B182" s="129"/>
      <c r="C182" s="220"/>
      <c r="D182" s="292" t="s">
        <v>1338</v>
      </c>
      <c r="E182" s="293" t="s">
        <v>1340</v>
      </c>
      <c r="F182" s="339" t="s">
        <v>1354</v>
      </c>
      <c r="G182" s="293" t="s">
        <v>1342</v>
      </c>
      <c r="H182" s="340"/>
      <c r="I182" s="340"/>
      <c r="J182" s="340"/>
      <c r="K182" s="340"/>
      <c r="L182" s="340"/>
      <c r="M182" s="1187"/>
      <c r="N182" s="293" t="s">
        <v>1344</v>
      </c>
      <c r="O182" s="342"/>
      <c r="P182" s="432"/>
      <c r="Q182" s="129"/>
      <c r="R182" s="220"/>
      <c r="S182" s="292" t="s">
        <v>1338</v>
      </c>
      <c r="T182" s="293" t="s">
        <v>1340</v>
      </c>
      <c r="U182" s="339" t="s">
        <v>1354</v>
      </c>
      <c r="V182" s="293" t="s">
        <v>1342</v>
      </c>
      <c r="W182" s="340"/>
      <c r="X182" s="340"/>
      <c r="Y182" s="340"/>
      <c r="Z182" s="340"/>
      <c r="AA182" s="340"/>
      <c r="AB182" s="1187"/>
      <c r="AC182" s="293" t="s">
        <v>1344</v>
      </c>
      <c r="AD182" s="342"/>
      <c r="AE182" s="432"/>
      <c r="AF182" s="432"/>
      <c r="AG182" s="129"/>
      <c r="AH182" s="129"/>
      <c r="AI182" s="129"/>
      <c r="AJ182" s="129"/>
      <c r="AK182" s="129"/>
      <c r="AL182" s="129"/>
      <c r="AM182" s="129"/>
      <c r="AN182" s="129"/>
      <c r="AO182" s="129"/>
      <c r="AP182" s="129"/>
      <c r="AQ182" s="129"/>
      <c r="AR182" s="129"/>
      <c r="AS182" s="129"/>
      <c r="AT182" s="129"/>
      <c r="AU182" s="129"/>
      <c r="AV182" s="129"/>
      <c r="AW182" s="129"/>
    </row>
    <row r="183" spans="1:49" ht="15.75" customHeight="1">
      <c r="A183" s="129"/>
      <c r="B183" s="129"/>
      <c r="C183" s="220"/>
      <c r="D183" s="327" t="s">
        <v>3232</v>
      </c>
      <c r="E183" s="140" t="s">
        <v>3097</v>
      </c>
      <c r="F183" s="283" t="str">
        <f t="shared" ref="F183:F190" si="53">IFERROR(VLOOKUP($E183,Table_AboveGradeWalls,2,FALSE),"")</f>
        <v>10-5</v>
      </c>
      <c r="G183" s="319">
        <f t="shared" ref="G183:G190" si="54">IFERROR(VLOOKUP($E183,Table_AboveGradeWalls,3,FALSE),+"")</f>
        <v>5.3999999999999999E-2</v>
      </c>
      <c r="H183" s="757"/>
      <c r="I183" s="239"/>
      <c r="J183" s="239"/>
      <c r="K183" s="239"/>
      <c r="L183" s="762" t="str">
        <f t="shared" ref="L183:L190" si="55">IF(AND(F183="NA",M183&lt;&gt;""), "Error: Leave area blank","")</f>
        <v/>
      </c>
      <c r="M183" s="79">
        <f>48.5*8.5*2+40.89*8.5*2-SUM(M104:M108)</f>
        <v>1422.38</v>
      </c>
      <c r="N183" s="284">
        <f>IFERROR(G183*M183,"")</f>
        <v>76.808520000000001</v>
      </c>
      <c r="O183" s="437">
        <f t="shared" ref="O183:O190" si="56">IF(L183&lt;&gt;"",1,IF(F183="NA",0,IF(AND(TRIM(E183)&lt;&gt;"",OR(ISNUMBER(M183)=FALSE,G183="")),1,IF(AND(TRIM(E183)="",G183="",TRIM(M183)=""),0,IF(AND(F183="Custom",G183=0),1,IF(AND(G183&lt;&gt;"",N183=0),1,IF(AND(G183="",M183&gt;0),1,0)))))))</f>
        <v>0</v>
      </c>
      <c r="P183" s="427" t="str">
        <f>IF(F183="Custom","Refer to WSEC R402.1.5 U-factor Reference and Calculations","")</f>
        <v/>
      </c>
      <c r="Q183" s="129"/>
      <c r="R183" s="220"/>
      <c r="S183" s="445"/>
      <c r="T183" s="140" t="s">
        <v>3098</v>
      </c>
      <c r="U183" s="283" t="str">
        <f t="shared" ref="U183:U190" si="57">IFERROR(VLOOKUP(T183,Table_AboveGradeWalls,2,FALSE),"")</f>
        <v>10-5</v>
      </c>
      <c r="V183" s="319">
        <f t="shared" ref="V183:V190" si="58">IFERROR(VLOOKUP(T183,Table_AboveGradeWalls,3,FALSE),+"")</f>
        <v>5.6000000000000001E-2</v>
      </c>
      <c r="W183" s="239"/>
      <c r="X183" s="239"/>
      <c r="Y183" s="239"/>
      <c r="Z183" s="239"/>
      <c r="AA183" s="239"/>
      <c r="AB183" s="79">
        <v>1134</v>
      </c>
      <c r="AC183" s="284">
        <f>IFERROR(V183*AB183,"")</f>
        <v>63.503999999999998</v>
      </c>
      <c r="AD183" s="437">
        <f t="shared" ref="AD183" si="59">IF(AND(T183&lt;&gt;"",OR(ISNUMBER(AB183)=FALSE,V183="")),1,IF(AND(T183="",V183="",AB183=""),0,IF(AND(U183="Custom",V183=0),1,IF(AND(V183&lt;&gt;"",AC183=0),1,IF(AND(V183="",AB183&gt;0),1,0)))))</f>
        <v>0</v>
      </c>
      <c r="AE183" s="427" t="str">
        <f>IF(U183="Custom","Refer to WSEC R402.1.5 U-factor Reference and Calculations","")</f>
        <v/>
      </c>
      <c r="AF183" s="432"/>
      <c r="AG183" s="129"/>
      <c r="AH183" s="129"/>
      <c r="AI183" s="129"/>
      <c r="AJ183" s="129"/>
      <c r="AK183" s="129"/>
      <c r="AL183" s="129"/>
      <c r="AM183" s="129"/>
      <c r="AN183" s="129"/>
      <c r="AO183" s="129"/>
      <c r="AP183" s="129"/>
      <c r="AQ183" s="129"/>
      <c r="AR183" s="129"/>
      <c r="AS183" s="129"/>
      <c r="AT183" s="129"/>
      <c r="AU183" s="129"/>
      <c r="AV183" s="129"/>
      <c r="AW183" s="129"/>
    </row>
    <row r="184" spans="1:49" ht="15.75" customHeight="1">
      <c r="A184" s="129"/>
      <c r="B184" s="129"/>
      <c r="C184" s="220"/>
      <c r="D184" s="327" t="s">
        <v>3233</v>
      </c>
      <c r="E184" s="140" t="s">
        <v>3097</v>
      </c>
      <c r="F184" s="283" t="str">
        <f t="shared" si="53"/>
        <v>10-5</v>
      </c>
      <c r="G184" s="319">
        <f t="shared" si="54"/>
        <v>5.3999999999999999E-2</v>
      </c>
      <c r="H184" s="758"/>
      <c r="I184" s="240"/>
      <c r="J184" s="240"/>
      <c r="K184" s="240"/>
      <c r="L184" s="761"/>
      <c r="M184" s="79">
        <f>23.95*8.5*4-M109</f>
        <v>779.3</v>
      </c>
      <c r="N184" s="284">
        <f t="shared" ref="N184:N190" si="60">IFERROR(G184*M184,"")</f>
        <v>42.0822</v>
      </c>
      <c r="O184" s="437">
        <f t="shared" si="56"/>
        <v>0</v>
      </c>
      <c r="P184" s="427" t="str">
        <f t="shared" ref="P184:P190" si="61">IF(F184="Custom","Refer to WSEC R402.1.5 U-factor Reference and Calculations","")</f>
        <v/>
      </c>
      <c r="Q184" s="129"/>
      <c r="R184" s="220"/>
      <c r="S184" s="445"/>
      <c r="T184" s="140"/>
      <c r="U184" s="283" t="str">
        <f t="shared" si="57"/>
        <v/>
      </c>
      <c r="V184" s="319" t="str">
        <f t="shared" si="58"/>
        <v/>
      </c>
      <c r="W184" s="240"/>
      <c r="X184" s="240"/>
      <c r="Y184" s="240"/>
      <c r="Z184" s="240"/>
      <c r="AA184" s="240"/>
      <c r="AB184" s="79"/>
      <c r="AC184" s="284" t="str">
        <f t="shared" ref="AC184:AC190" si="62">IFERROR(V184*AB184,"")</f>
        <v/>
      </c>
      <c r="AD184" s="437">
        <f t="shared" ref="AD184:AD190" si="63">IF(AND(T184&lt;&gt;"",OR(ISNUMBER(AB184)=FALSE,V184="")),1,IF(AND(T184="",V184="",AB184=""),0,IF(AND(U184="Custom",V184=0),1,IF(AND(V184&lt;&gt;"",AC184=0),1,IF(AND(V184="",AB184&gt;0),1,0)))))</f>
        <v>0</v>
      </c>
      <c r="AE184" s="427" t="str">
        <f t="shared" ref="AE184:AE190" si="64">IF(U184="Custom","Refer to WSEC R402.1.5 U-factor Reference and Calculations","")</f>
        <v/>
      </c>
      <c r="AF184" s="432"/>
      <c r="AG184" s="129"/>
      <c r="AH184" s="129"/>
      <c r="AI184" s="129"/>
      <c r="AJ184" s="129"/>
      <c r="AK184" s="129"/>
      <c r="AL184" s="129"/>
      <c r="AM184" s="129"/>
      <c r="AN184" s="129"/>
      <c r="AO184" s="129"/>
      <c r="AP184" s="129"/>
      <c r="AQ184" s="129"/>
      <c r="AR184" s="129"/>
      <c r="AS184" s="129"/>
      <c r="AT184" s="129"/>
      <c r="AU184" s="129"/>
      <c r="AV184" s="129"/>
      <c r="AW184" s="129"/>
    </row>
    <row r="185" spans="1:49" ht="15.75" customHeight="1">
      <c r="A185" s="129"/>
      <c r="B185" s="129"/>
      <c r="C185" s="220"/>
      <c r="D185" s="127"/>
      <c r="E185" s="140"/>
      <c r="F185" s="283" t="str">
        <f t="shared" si="53"/>
        <v/>
      </c>
      <c r="G185" s="319" t="str">
        <f t="shared" si="54"/>
        <v/>
      </c>
      <c r="H185" s="758"/>
      <c r="I185" s="240"/>
      <c r="J185" s="240"/>
      <c r="K185" s="240"/>
      <c r="L185" s="761"/>
      <c r="M185" s="79"/>
      <c r="N185" s="284" t="str">
        <f t="shared" si="60"/>
        <v/>
      </c>
      <c r="O185" s="437">
        <f t="shared" si="56"/>
        <v>0</v>
      </c>
      <c r="P185" s="427" t="str">
        <f t="shared" si="61"/>
        <v/>
      </c>
      <c r="Q185" s="129"/>
      <c r="R185" s="220"/>
      <c r="S185" s="445"/>
      <c r="T185" s="140"/>
      <c r="U185" s="283" t="str">
        <f t="shared" si="57"/>
        <v/>
      </c>
      <c r="V185" s="319" t="str">
        <f t="shared" si="58"/>
        <v/>
      </c>
      <c r="W185" s="240"/>
      <c r="X185" s="240"/>
      <c r="Y185" s="240"/>
      <c r="Z185" s="240"/>
      <c r="AA185" s="240"/>
      <c r="AB185" s="79"/>
      <c r="AC185" s="284" t="str">
        <f t="shared" si="62"/>
        <v/>
      </c>
      <c r="AD185" s="437">
        <f t="shared" si="63"/>
        <v>0</v>
      </c>
      <c r="AE185" s="427" t="str">
        <f t="shared" si="64"/>
        <v/>
      </c>
      <c r="AF185" s="432"/>
      <c r="AG185" s="129"/>
      <c r="AH185" s="129"/>
      <c r="AI185" s="129"/>
      <c r="AJ185" s="129"/>
      <c r="AK185" s="129"/>
      <c r="AL185" s="129"/>
      <c r="AM185" s="129"/>
      <c r="AN185" s="129"/>
      <c r="AO185" s="129"/>
      <c r="AP185" s="129"/>
      <c r="AQ185" s="129"/>
      <c r="AR185" s="129"/>
      <c r="AS185" s="129"/>
      <c r="AT185" s="129"/>
      <c r="AU185" s="129"/>
      <c r="AV185" s="129"/>
      <c r="AW185" s="129"/>
    </row>
    <row r="186" spans="1:49" ht="15.75" customHeight="1">
      <c r="A186" s="129"/>
      <c r="B186" s="129"/>
      <c r="C186" s="220"/>
      <c r="D186" s="127"/>
      <c r="E186" s="140"/>
      <c r="F186" s="283" t="str">
        <f t="shared" si="53"/>
        <v/>
      </c>
      <c r="G186" s="319" t="str">
        <f t="shared" si="54"/>
        <v/>
      </c>
      <c r="H186" s="758"/>
      <c r="I186" s="240"/>
      <c r="J186" s="240"/>
      <c r="K186" s="240"/>
      <c r="L186" s="761"/>
      <c r="M186" s="79"/>
      <c r="N186" s="284" t="str">
        <f t="shared" si="60"/>
        <v/>
      </c>
      <c r="O186" s="437">
        <f t="shared" si="56"/>
        <v>0</v>
      </c>
      <c r="P186" s="427" t="str">
        <f t="shared" si="61"/>
        <v/>
      </c>
      <c r="Q186" s="129"/>
      <c r="R186" s="220"/>
      <c r="S186" s="445"/>
      <c r="T186" s="140"/>
      <c r="U186" s="283" t="str">
        <f t="shared" si="57"/>
        <v/>
      </c>
      <c r="V186" s="319" t="str">
        <f t="shared" si="58"/>
        <v/>
      </c>
      <c r="W186" s="240"/>
      <c r="X186" s="240"/>
      <c r="Y186" s="240"/>
      <c r="Z186" s="240"/>
      <c r="AA186" s="240"/>
      <c r="AB186" s="79"/>
      <c r="AC186" s="284" t="str">
        <f t="shared" si="62"/>
        <v/>
      </c>
      <c r="AD186" s="437">
        <f t="shared" si="63"/>
        <v>0</v>
      </c>
      <c r="AE186" s="427" t="str">
        <f t="shared" si="64"/>
        <v/>
      </c>
      <c r="AF186" s="432"/>
      <c r="AG186" s="129"/>
      <c r="AH186" s="129"/>
      <c r="AI186" s="129"/>
      <c r="AJ186" s="129"/>
      <c r="AK186" s="129"/>
      <c r="AL186" s="129"/>
      <c r="AM186" s="129"/>
      <c r="AN186" s="129"/>
      <c r="AO186" s="129"/>
      <c r="AP186" s="129"/>
      <c r="AQ186" s="129"/>
      <c r="AR186" s="129"/>
      <c r="AS186" s="129"/>
      <c r="AT186" s="129"/>
      <c r="AU186" s="129"/>
      <c r="AV186" s="129"/>
      <c r="AW186" s="129"/>
    </row>
    <row r="187" spans="1:49" ht="15.75" customHeight="1">
      <c r="A187" s="129"/>
      <c r="B187" s="129"/>
      <c r="C187" s="220"/>
      <c r="D187" s="127"/>
      <c r="E187" s="140" t="s">
        <v>1350</v>
      </c>
      <c r="F187" s="283" t="str">
        <f t="shared" si="53"/>
        <v/>
      </c>
      <c r="G187" s="319" t="str">
        <f t="shared" si="54"/>
        <v/>
      </c>
      <c r="H187" s="758"/>
      <c r="I187" s="240"/>
      <c r="J187" s="240"/>
      <c r="K187" s="240"/>
      <c r="L187" s="761"/>
      <c r="M187" s="79"/>
      <c r="N187" s="284" t="str">
        <f t="shared" si="60"/>
        <v/>
      </c>
      <c r="O187" s="437">
        <f t="shared" si="56"/>
        <v>0</v>
      </c>
      <c r="P187" s="427" t="str">
        <f t="shared" si="61"/>
        <v/>
      </c>
      <c r="Q187" s="129"/>
      <c r="R187" s="220"/>
      <c r="S187" s="445"/>
      <c r="T187" s="140"/>
      <c r="U187" s="283" t="str">
        <f t="shared" si="57"/>
        <v/>
      </c>
      <c r="V187" s="319" t="str">
        <f t="shared" si="58"/>
        <v/>
      </c>
      <c r="W187" s="240"/>
      <c r="X187" s="240"/>
      <c r="Y187" s="240"/>
      <c r="Z187" s="240"/>
      <c r="AA187" s="240"/>
      <c r="AB187" s="79"/>
      <c r="AC187" s="284" t="str">
        <f t="shared" si="62"/>
        <v/>
      </c>
      <c r="AD187" s="437">
        <f t="shared" si="63"/>
        <v>0</v>
      </c>
      <c r="AE187" s="427" t="str">
        <f t="shared" si="64"/>
        <v/>
      </c>
      <c r="AF187" s="432"/>
      <c r="AG187" s="129"/>
      <c r="AH187" s="129"/>
      <c r="AI187" s="129"/>
      <c r="AJ187" s="129"/>
      <c r="AK187" s="129"/>
      <c r="AL187" s="129"/>
      <c r="AM187" s="129"/>
      <c r="AN187" s="129"/>
      <c r="AO187" s="129"/>
      <c r="AP187" s="129"/>
      <c r="AQ187" s="129"/>
      <c r="AR187" s="129"/>
      <c r="AS187" s="129"/>
      <c r="AT187" s="129"/>
      <c r="AU187" s="129"/>
      <c r="AV187" s="129"/>
      <c r="AW187" s="129"/>
    </row>
    <row r="188" spans="1:49" ht="15.75" customHeight="1">
      <c r="A188" s="129"/>
      <c r="B188" s="129"/>
      <c r="C188" s="220"/>
      <c r="D188" s="445"/>
      <c r="E188" s="140"/>
      <c r="F188" s="283" t="str">
        <f t="shared" si="53"/>
        <v/>
      </c>
      <c r="G188" s="319" t="str">
        <f t="shared" si="54"/>
        <v/>
      </c>
      <c r="H188" s="758"/>
      <c r="I188" s="240"/>
      <c r="J188" s="240"/>
      <c r="K188" s="240"/>
      <c r="L188" s="761" t="str">
        <f t="shared" si="55"/>
        <v/>
      </c>
      <c r="M188" s="79"/>
      <c r="N188" s="284" t="str">
        <f t="shared" si="60"/>
        <v/>
      </c>
      <c r="O188" s="437">
        <f t="shared" si="56"/>
        <v>0</v>
      </c>
      <c r="P188" s="427" t="str">
        <f t="shared" si="61"/>
        <v/>
      </c>
      <c r="Q188" s="129"/>
      <c r="R188" s="220"/>
      <c r="S188" s="445"/>
      <c r="T188" s="140"/>
      <c r="U188" s="283" t="str">
        <f t="shared" si="57"/>
        <v/>
      </c>
      <c r="V188" s="319" t="str">
        <f t="shared" si="58"/>
        <v/>
      </c>
      <c r="W188" s="240"/>
      <c r="X188" s="240"/>
      <c r="Y188" s="240"/>
      <c r="Z188" s="240"/>
      <c r="AA188" s="240"/>
      <c r="AB188" s="79"/>
      <c r="AC188" s="284" t="str">
        <f t="shared" si="62"/>
        <v/>
      </c>
      <c r="AD188" s="437">
        <f t="shared" si="63"/>
        <v>0</v>
      </c>
      <c r="AE188" s="427" t="str">
        <f t="shared" si="64"/>
        <v/>
      </c>
      <c r="AF188" s="432"/>
      <c r="AG188" s="129"/>
      <c r="AH188" s="129"/>
      <c r="AI188" s="129"/>
      <c r="AJ188" s="129"/>
      <c r="AK188" s="129"/>
      <c r="AL188" s="129"/>
      <c r="AM188" s="129"/>
      <c r="AN188" s="129"/>
      <c r="AO188" s="129"/>
      <c r="AP188" s="129"/>
      <c r="AQ188" s="129"/>
      <c r="AR188" s="129"/>
      <c r="AS188" s="129"/>
      <c r="AT188" s="129"/>
      <c r="AU188" s="129"/>
      <c r="AV188" s="129"/>
      <c r="AW188" s="129"/>
    </row>
    <row r="189" spans="1:49" ht="15.75" customHeight="1">
      <c r="A189" s="129"/>
      <c r="B189" s="129"/>
      <c r="C189" s="220"/>
      <c r="D189" s="445"/>
      <c r="E189" s="140"/>
      <c r="F189" s="283" t="str">
        <f t="shared" si="53"/>
        <v/>
      </c>
      <c r="G189" s="319" t="str">
        <f t="shared" si="54"/>
        <v/>
      </c>
      <c r="H189" s="758"/>
      <c r="I189" s="240"/>
      <c r="J189" s="240"/>
      <c r="K189" s="240"/>
      <c r="L189" s="761" t="str">
        <f t="shared" si="55"/>
        <v/>
      </c>
      <c r="M189" s="79"/>
      <c r="N189" s="284" t="str">
        <f t="shared" si="60"/>
        <v/>
      </c>
      <c r="O189" s="437">
        <f t="shared" si="56"/>
        <v>0</v>
      </c>
      <c r="P189" s="427" t="str">
        <f t="shared" si="61"/>
        <v/>
      </c>
      <c r="Q189" s="129"/>
      <c r="R189" s="220"/>
      <c r="S189" s="445"/>
      <c r="T189" s="140"/>
      <c r="U189" s="283" t="str">
        <f t="shared" si="57"/>
        <v/>
      </c>
      <c r="V189" s="319" t="str">
        <f t="shared" si="58"/>
        <v/>
      </c>
      <c r="W189" s="240"/>
      <c r="X189" s="240"/>
      <c r="Y189" s="240"/>
      <c r="Z189" s="240"/>
      <c r="AA189" s="240"/>
      <c r="AB189" s="74"/>
      <c r="AC189" s="284" t="str">
        <f t="shared" si="62"/>
        <v/>
      </c>
      <c r="AD189" s="437">
        <f t="shared" si="63"/>
        <v>0</v>
      </c>
      <c r="AE189" s="427" t="str">
        <f t="shared" si="64"/>
        <v/>
      </c>
      <c r="AF189" s="432"/>
      <c r="AG189" s="129"/>
      <c r="AH189" s="129"/>
      <c r="AI189" s="129"/>
      <c r="AJ189" s="129"/>
      <c r="AK189" s="129"/>
      <c r="AL189" s="129"/>
      <c r="AM189" s="129"/>
      <c r="AN189" s="129"/>
      <c r="AO189" s="129"/>
      <c r="AP189" s="129"/>
      <c r="AQ189" s="129"/>
      <c r="AR189" s="129"/>
      <c r="AS189" s="129"/>
      <c r="AT189" s="129"/>
      <c r="AU189" s="129"/>
      <c r="AV189" s="129"/>
      <c r="AW189" s="129"/>
    </row>
    <row r="190" spans="1:49" ht="15.75" customHeight="1">
      <c r="A190" s="129"/>
      <c r="B190" s="129"/>
      <c r="C190" s="220"/>
      <c r="D190" s="445"/>
      <c r="E190" s="140"/>
      <c r="F190" s="283" t="str">
        <f t="shared" si="53"/>
        <v/>
      </c>
      <c r="G190" s="319" t="str">
        <f t="shared" si="54"/>
        <v/>
      </c>
      <c r="H190" s="759"/>
      <c r="I190" s="241"/>
      <c r="J190" s="241"/>
      <c r="K190" s="241"/>
      <c r="L190" s="763" t="str">
        <f t="shared" si="55"/>
        <v/>
      </c>
      <c r="M190" s="79"/>
      <c r="N190" s="284" t="str">
        <f t="shared" si="60"/>
        <v/>
      </c>
      <c r="O190" s="437">
        <f t="shared" si="56"/>
        <v>0</v>
      </c>
      <c r="P190" s="427" t="str">
        <f t="shared" si="61"/>
        <v/>
      </c>
      <c r="Q190" s="129"/>
      <c r="R190" s="220"/>
      <c r="S190" s="445"/>
      <c r="T190" s="140"/>
      <c r="U190" s="283" t="str">
        <f t="shared" si="57"/>
        <v/>
      </c>
      <c r="V190" s="319" t="str">
        <f t="shared" si="58"/>
        <v/>
      </c>
      <c r="W190" s="241"/>
      <c r="X190" s="241"/>
      <c r="Y190" s="241"/>
      <c r="Z190" s="241"/>
      <c r="AA190" s="241"/>
      <c r="AB190" s="74"/>
      <c r="AC190" s="284" t="str">
        <f t="shared" si="62"/>
        <v/>
      </c>
      <c r="AD190" s="437">
        <f t="shared" si="63"/>
        <v>0</v>
      </c>
      <c r="AE190" s="427" t="str">
        <f t="shared" si="64"/>
        <v/>
      </c>
      <c r="AF190" s="432"/>
      <c r="AG190" s="129"/>
      <c r="AH190" s="129"/>
      <c r="AI190" s="129"/>
      <c r="AJ190" s="129"/>
      <c r="AK190" s="129"/>
      <c r="AL190" s="129"/>
      <c r="AM190" s="129"/>
      <c r="AN190" s="129"/>
      <c r="AO190" s="129"/>
      <c r="AP190" s="129"/>
      <c r="AQ190" s="129"/>
      <c r="AR190" s="129"/>
      <c r="AS190" s="129"/>
      <c r="AT190" s="129"/>
      <c r="AU190" s="129"/>
      <c r="AV190" s="129"/>
      <c r="AW190" s="129"/>
    </row>
    <row r="191" spans="1:49" ht="15.75" customHeight="1">
      <c r="A191" s="129"/>
      <c r="B191" s="129"/>
      <c r="C191" s="220"/>
      <c r="D191" s="225"/>
      <c r="E191" s="225"/>
      <c r="F191" s="270"/>
      <c r="G191" s="225"/>
      <c r="H191" s="1167" t="s">
        <v>3201</v>
      </c>
      <c r="I191" s="1167"/>
      <c r="J191" s="1167"/>
      <c r="K191" s="1167"/>
      <c r="L191" s="1168"/>
      <c r="M191" s="287">
        <f>IF(O191&gt;0,"",SUM(M183:M190))</f>
        <v>2201.6800000000003</v>
      </c>
      <c r="N191" s="287">
        <f>IF(O191&gt;0,"Error",SUM(N183:N190))</f>
        <v>118.89072</v>
      </c>
      <c r="O191" s="297">
        <f>SUM(O183:O190)</f>
        <v>0</v>
      </c>
      <c r="P191" s="434">
        <f>ROW(P190)-ROW(P183)+1-COUNTBLANK(P183:P190)</f>
        <v>0</v>
      </c>
      <c r="Q191" s="129"/>
      <c r="R191" s="220"/>
      <c r="S191" s="225"/>
      <c r="T191" s="225"/>
      <c r="U191" s="270"/>
      <c r="V191" s="225"/>
      <c r="W191" s="1167" t="s">
        <v>1363</v>
      </c>
      <c r="X191" s="1167"/>
      <c r="Y191" s="1167"/>
      <c r="Z191" s="1167"/>
      <c r="AA191" s="1168"/>
      <c r="AB191" s="316">
        <f>IF(AD191&gt;0,"",SUM(AB183:AB190))</f>
        <v>1134</v>
      </c>
      <c r="AC191" s="316">
        <f>IF(AD191&gt;0,"Error",SUM(AC183:AC190))</f>
        <v>63.503999999999998</v>
      </c>
      <c r="AD191" s="297">
        <f>SUM(AD183:AD190)</f>
        <v>0</v>
      </c>
      <c r="AE191" s="434">
        <f>ROW(AE190)-ROW(AE183)+1-COUNTBLANK(AE183:AE190)</f>
        <v>0</v>
      </c>
      <c r="AF191" s="432"/>
      <c r="AG191" s="129"/>
      <c r="AH191" s="129"/>
      <c r="AI191" s="129"/>
      <c r="AJ191" s="129"/>
      <c r="AK191" s="129"/>
      <c r="AL191" s="129"/>
      <c r="AM191" s="129"/>
      <c r="AN191" s="129"/>
      <c r="AO191" s="129"/>
      <c r="AP191" s="129"/>
      <c r="AQ191" s="129"/>
      <c r="AR191" s="129"/>
      <c r="AS191" s="129"/>
      <c r="AT191" s="129"/>
      <c r="AU191" s="129"/>
      <c r="AV191" s="129"/>
      <c r="AW191" s="129"/>
    </row>
    <row r="192" spans="1:49" ht="15.75" customHeight="1">
      <c r="A192" s="129"/>
      <c r="B192" s="129"/>
      <c r="C192" s="220"/>
      <c r="D192" s="225"/>
      <c r="E192" s="225"/>
      <c r="F192" s="270"/>
      <c r="G192" s="225"/>
      <c r="H192" s="249"/>
      <c r="I192" s="249"/>
      <c r="J192" s="249"/>
      <c r="K192" s="249"/>
      <c r="L192" s="249" t="s">
        <v>3202</v>
      </c>
      <c r="M192" s="287">
        <f>M191+M84+M164</f>
        <v>2425.0411111111116</v>
      </c>
      <c r="N192" s="1052" t="s">
        <v>3203</v>
      </c>
      <c r="O192" s="297"/>
      <c r="P192" s="434"/>
      <c r="Q192" s="129"/>
      <c r="R192" s="220"/>
      <c r="S192" s="225"/>
      <c r="T192" s="225"/>
      <c r="U192" s="270"/>
      <c r="V192" s="225"/>
      <c r="W192" s="249"/>
      <c r="X192" s="249"/>
      <c r="Y192" s="249"/>
      <c r="Z192" s="249"/>
      <c r="AA192" s="249" t="s">
        <v>3202</v>
      </c>
      <c r="AB192" s="287">
        <f>AB191+AB84+AB164</f>
        <v>1314</v>
      </c>
      <c r="AC192" s="1052" t="s">
        <v>3203</v>
      </c>
      <c r="AD192" s="297"/>
      <c r="AE192" s="434"/>
      <c r="AF192" s="432"/>
      <c r="AG192" s="129"/>
      <c r="AH192" s="129"/>
      <c r="AI192" s="129"/>
      <c r="AJ192" s="129"/>
      <c r="AK192" s="129"/>
      <c r="AL192" s="129"/>
      <c r="AM192" s="129"/>
      <c r="AN192" s="129"/>
      <c r="AO192" s="129"/>
      <c r="AP192" s="129"/>
      <c r="AQ192" s="129"/>
      <c r="AR192" s="129"/>
      <c r="AS192" s="129"/>
      <c r="AT192" s="129"/>
      <c r="AU192" s="129"/>
      <c r="AV192" s="129"/>
      <c r="AW192" s="129"/>
    </row>
    <row r="193" spans="1:49" ht="15.75" customHeight="1">
      <c r="A193" s="129"/>
      <c r="B193" s="129"/>
      <c r="C193" s="220"/>
      <c r="D193" s="225"/>
      <c r="E193" s="225"/>
      <c r="F193" s="270"/>
      <c r="G193" s="225"/>
      <c r="H193" s="249"/>
      <c r="I193" s="249"/>
      <c r="J193" s="249"/>
      <c r="K193" s="249"/>
      <c r="L193" s="249" t="s">
        <v>3208</v>
      </c>
      <c r="M193" s="249"/>
      <c r="N193" s="296">
        <f>IFERROR(N191/M191,"")</f>
        <v>5.3999999999999992E-2</v>
      </c>
      <c r="O193" s="297"/>
      <c r="P193" s="434"/>
      <c r="Q193" s="129"/>
      <c r="R193" s="220"/>
      <c r="S193" s="225"/>
      <c r="T193" s="225"/>
      <c r="U193" s="270"/>
      <c r="V193" s="225"/>
      <c r="W193" s="249"/>
      <c r="X193" s="249"/>
      <c r="Y193" s="249"/>
      <c r="Z193" s="249"/>
      <c r="AA193" s="249" t="s">
        <v>3208</v>
      </c>
      <c r="AB193" s="249"/>
      <c r="AC193" s="296">
        <f>IFERROR(AC191/AB191,"")</f>
        <v>5.6000000000000001E-2</v>
      </c>
      <c r="AD193" s="297"/>
      <c r="AE193" s="434"/>
      <c r="AF193" s="432"/>
      <c r="AG193" s="129"/>
      <c r="AH193" s="129"/>
      <c r="AI193" s="129"/>
      <c r="AJ193" s="129"/>
      <c r="AK193" s="129"/>
      <c r="AL193" s="129"/>
      <c r="AM193" s="129"/>
      <c r="AN193" s="129"/>
      <c r="AO193" s="129"/>
      <c r="AP193" s="129"/>
      <c r="AQ193" s="129"/>
      <c r="AR193" s="129"/>
      <c r="AS193" s="129"/>
      <c r="AT193" s="129"/>
      <c r="AU193" s="129"/>
      <c r="AV193" s="129"/>
      <c r="AW193" s="129"/>
    </row>
    <row r="194" spans="1:49" ht="15.75" customHeight="1">
      <c r="A194" s="129"/>
      <c r="B194" s="129"/>
      <c r="C194" s="266"/>
      <c r="D194" s="137"/>
      <c r="E194" s="137"/>
      <c r="F194" s="272"/>
      <c r="G194" s="137"/>
      <c r="H194" s="137"/>
      <c r="I194" s="137"/>
      <c r="J194" s="137"/>
      <c r="K194" s="137"/>
      <c r="L194" s="137"/>
      <c r="M194" s="137"/>
      <c r="N194" s="137"/>
      <c r="O194" s="237"/>
      <c r="P194" s="432"/>
      <c r="Q194" s="129"/>
      <c r="R194" s="266"/>
      <c r="S194" s="137"/>
      <c r="T194" s="137"/>
      <c r="U194" s="272"/>
      <c r="V194" s="137"/>
      <c r="W194" s="137"/>
      <c r="X194" s="137"/>
      <c r="Y194" s="137"/>
      <c r="Z194" s="137"/>
      <c r="AA194" s="137"/>
      <c r="AB194" s="137"/>
      <c r="AC194" s="137"/>
      <c r="AD194" s="237"/>
      <c r="AE194" s="432"/>
      <c r="AF194" s="432"/>
      <c r="AG194" s="129"/>
      <c r="AH194" s="129"/>
      <c r="AI194" s="129"/>
      <c r="AJ194" s="129"/>
      <c r="AK194" s="129"/>
      <c r="AL194" s="129"/>
      <c r="AM194" s="129"/>
      <c r="AN194" s="129"/>
      <c r="AO194" s="129"/>
      <c r="AP194" s="129"/>
      <c r="AQ194" s="129"/>
      <c r="AR194" s="129"/>
      <c r="AS194" s="129"/>
      <c r="AT194" s="129"/>
      <c r="AU194" s="129"/>
      <c r="AV194" s="129"/>
      <c r="AW194" s="129"/>
    </row>
    <row r="195" spans="1:49" ht="15.75" customHeight="1">
      <c r="A195" s="129"/>
      <c r="B195" s="129"/>
      <c r="C195" s="129"/>
      <c r="D195" s="129"/>
      <c r="E195" s="129"/>
      <c r="F195" s="142"/>
      <c r="G195" s="129"/>
      <c r="H195" s="129"/>
      <c r="I195" s="129"/>
      <c r="J195" s="129"/>
      <c r="K195" s="129"/>
      <c r="L195" s="129"/>
      <c r="M195" s="129"/>
      <c r="N195" s="129"/>
      <c r="O195" s="129"/>
      <c r="P195" s="432"/>
      <c r="Q195" s="129"/>
      <c r="R195" s="129"/>
      <c r="S195" s="129"/>
      <c r="T195" s="129"/>
      <c r="U195" s="142"/>
      <c r="V195" s="129"/>
      <c r="W195" s="129"/>
      <c r="X195" s="129"/>
      <c r="Y195" s="129"/>
      <c r="Z195" s="129"/>
      <c r="AA195" s="129"/>
      <c r="AB195" s="129"/>
      <c r="AC195" s="129"/>
      <c r="AD195" s="129"/>
      <c r="AE195" s="432"/>
      <c r="AF195" s="432"/>
      <c r="AG195" s="129"/>
      <c r="AH195" s="129"/>
      <c r="AI195" s="129"/>
      <c r="AJ195" s="129"/>
      <c r="AK195" s="129"/>
      <c r="AL195" s="129"/>
      <c r="AM195" s="129"/>
      <c r="AN195" s="129"/>
      <c r="AO195" s="129"/>
      <c r="AP195" s="129"/>
      <c r="AQ195" s="129"/>
      <c r="AR195" s="129"/>
      <c r="AS195" s="129"/>
      <c r="AT195" s="129"/>
      <c r="AU195" s="129"/>
      <c r="AV195" s="129"/>
      <c r="AW195" s="129"/>
    </row>
    <row r="196" spans="1:49" ht="18.75" customHeight="1">
      <c r="A196" s="588"/>
      <c r="B196" s="588"/>
      <c r="C196" s="253"/>
      <c r="D196" s="262" t="s">
        <v>1359</v>
      </c>
      <c r="E196" s="254"/>
      <c r="F196" s="322"/>
      <c r="G196" s="276"/>
      <c r="H196" s="276"/>
      <c r="I196" s="276"/>
      <c r="J196" s="276"/>
      <c r="K196" s="276"/>
      <c r="L196" s="276"/>
      <c r="M196" s="276"/>
      <c r="N196" s="276"/>
      <c r="O196" s="255"/>
      <c r="P196" s="432"/>
      <c r="Q196" s="129"/>
      <c r="R196" s="253"/>
      <c r="S196" s="262" t="s">
        <v>1359</v>
      </c>
      <c r="T196" s="254"/>
      <c r="U196" s="322"/>
      <c r="V196" s="276"/>
      <c r="W196" s="276"/>
      <c r="X196" s="276"/>
      <c r="Y196" s="276"/>
      <c r="Z196" s="276"/>
      <c r="AA196" s="276"/>
      <c r="AB196" s="276"/>
      <c r="AC196" s="276"/>
      <c r="AD196" s="255"/>
      <c r="AE196" s="432"/>
      <c r="AF196" s="432"/>
      <c r="AG196" s="129"/>
      <c r="AH196" s="129"/>
      <c r="AI196" s="129"/>
      <c r="AJ196" s="129"/>
      <c r="AK196" s="129"/>
      <c r="AL196" s="129"/>
      <c r="AM196" s="129"/>
      <c r="AN196" s="129"/>
      <c r="AO196" s="129"/>
      <c r="AP196" s="129"/>
      <c r="AQ196" s="129"/>
      <c r="AR196" s="129"/>
      <c r="AS196" s="129"/>
      <c r="AT196" s="129"/>
      <c r="AU196" s="129"/>
      <c r="AV196" s="129"/>
      <c r="AW196" s="129"/>
    </row>
    <row r="197" spans="1:49" ht="15.75" customHeight="1">
      <c r="A197" s="129"/>
      <c r="B197" s="129"/>
      <c r="C197" s="216"/>
      <c r="D197" s="289" t="s">
        <v>1337</v>
      </c>
      <c r="E197" s="290" t="s">
        <v>1339</v>
      </c>
      <c r="F197" s="337"/>
      <c r="G197" s="291" t="s">
        <v>1360</v>
      </c>
      <c r="H197" s="338"/>
      <c r="I197" s="338"/>
      <c r="J197" s="338"/>
      <c r="K197" s="338"/>
      <c r="L197" s="338"/>
      <c r="M197" s="1186" t="s">
        <v>1343</v>
      </c>
      <c r="N197" s="290" t="s">
        <v>1344</v>
      </c>
      <c r="O197" s="341"/>
      <c r="P197" s="432"/>
      <c r="Q197" s="129"/>
      <c r="R197" s="216" t="s">
        <v>1350</v>
      </c>
      <c r="S197" s="289" t="s">
        <v>1337</v>
      </c>
      <c r="T197" s="290" t="s">
        <v>1339</v>
      </c>
      <c r="U197" s="337"/>
      <c r="V197" s="291" t="s">
        <v>1360</v>
      </c>
      <c r="W197" s="338"/>
      <c r="X197" s="338"/>
      <c r="Y197" s="338"/>
      <c r="Z197" s="338"/>
      <c r="AA197" s="338"/>
      <c r="AB197" s="1186" t="s">
        <v>1343</v>
      </c>
      <c r="AC197" s="290" t="s">
        <v>1344</v>
      </c>
      <c r="AD197" s="341"/>
      <c r="AE197" s="432"/>
      <c r="AF197" s="432"/>
      <c r="AG197" s="129"/>
      <c r="AH197" s="129"/>
      <c r="AI197" s="129"/>
      <c r="AJ197" s="129"/>
      <c r="AK197" s="129"/>
      <c r="AL197" s="129"/>
      <c r="AM197" s="129"/>
      <c r="AN197" s="129"/>
      <c r="AO197" s="129"/>
      <c r="AP197" s="129"/>
      <c r="AQ197" s="129"/>
      <c r="AR197" s="129"/>
      <c r="AS197" s="129"/>
      <c r="AT197" s="129"/>
      <c r="AU197" s="129"/>
      <c r="AV197" s="129"/>
      <c r="AW197" s="129"/>
    </row>
    <row r="198" spans="1:49" ht="15.75" customHeight="1">
      <c r="A198" s="129"/>
      <c r="B198" s="129"/>
      <c r="C198" s="220"/>
      <c r="D198" s="292" t="s">
        <v>1338</v>
      </c>
      <c r="E198" s="293" t="s">
        <v>1340</v>
      </c>
      <c r="F198" s="339" t="s">
        <v>1354</v>
      </c>
      <c r="G198" s="293" t="s">
        <v>1342</v>
      </c>
      <c r="H198" s="340"/>
      <c r="I198" s="340"/>
      <c r="J198" s="340"/>
      <c r="K198" s="340"/>
      <c r="L198" s="340"/>
      <c r="M198" s="1187"/>
      <c r="N198" s="293"/>
      <c r="O198" s="342"/>
      <c r="P198" s="432"/>
      <c r="Q198" s="129"/>
      <c r="R198" s="220" t="s">
        <v>1350</v>
      </c>
      <c r="S198" s="292" t="s">
        <v>1338</v>
      </c>
      <c r="T198" s="293" t="s">
        <v>1340</v>
      </c>
      <c r="U198" s="339" t="s">
        <v>1354</v>
      </c>
      <c r="V198" s="293" t="s">
        <v>1342</v>
      </c>
      <c r="W198" s="340"/>
      <c r="X198" s="340"/>
      <c r="Y198" s="340"/>
      <c r="Z198" s="340"/>
      <c r="AA198" s="340"/>
      <c r="AB198" s="1187"/>
      <c r="AC198" s="293"/>
      <c r="AD198" s="342"/>
      <c r="AE198" s="432"/>
      <c r="AF198" s="432"/>
      <c r="AG198" s="129"/>
      <c r="AH198" s="129"/>
      <c r="AI198" s="129"/>
      <c r="AJ198" s="129"/>
      <c r="AK198" s="129"/>
      <c r="AL198" s="129"/>
      <c r="AM198" s="129"/>
      <c r="AN198" s="129"/>
      <c r="AO198" s="129"/>
      <c r="AP198" s="129"/>
      <c r="AQ198" s="129"/>
      <c r="AR198" s="129"/>
      <c r="AS198" s="129"/>
      <c r="AT198" s="129"/>
      <c r="AU198" s="129"/>
      <c r="AV198" s="129"/>
      <c r="AW198" s="129"/>
    </row>
    <row r="199" spans="1:49" ht="15.75" customHeight="1">
      <c r="A199" s="129"/>
      <c r="B199" s="129"/>
      <c r="C199" s="220"/>
      <c r="D199" s="127"/>
      <c r="E199" s="140" t="s">
        <v>3105</v>
      </c>
      <c r="F199" s="282" t="str">
        <f>IFERROR(VLOOKUP($E199,Table_FloorOverCrawlspace,2,FALSE),"")</f>
        <v>10-3</v>
      </c>
      <c r="G199" s="319">
        <f>IFERROR(VLOOKUP($E199,Table_FloorOverCrawlspace,3,FALSE),"")</f>
        <v>2.9000000000000001E-2</v>
      </c>
      <c r="H199" s="239"/>
      <c r="I199" s="239"/>
      <c r="J199" s="239"/>
      <c r="K199" s="239"/>
      <c r="L199" s="762" t="str">
        <f t="shared" ref="L199:L202" si="65">IF(AND(F199="NA",M199&lt;&gt;""), "Error: Leave area blank","")</f>
        <v/>
      </c>
      <c r="M199" s="79">
        <f>M172</f>
        <v>1578</v>
      </c>
      <c r="N199" s="284">
        <f>IFERROR(G199*M199,"")</f>
        <v>45.762</v>
      </c>
      <c r="O199" s="437">
        <f t="shared" ref="O199:O202" si="66">IF(L199&lt;&gt;"",1,IF(F199="NA",0,IF(AND(TRIM(E199)&lt;&gt;"",OR(ISNUMBER(M199)=FALSE,G199="")),1,IF(AND(TRIM(E199)="",G199="",TRIM(M199)=""),0,IF(AND(F199="Custom",G199=0),1,IF(AND(G199&lt;&gt;"",N199=0),1,IF(AND(G199="",M199&gt;0),1,0)))))))</f>
        <v>0</v>
      </c>
      <c r="P199" s="427" t="str">
        <f>IF(F199="Custom",IF(G199=0,"U-value missing in Custom Input","Refer to WSEC R402.1.5 U-factor Reference and Calculations"),"")</f>
        <v/>
      </c>
      <c r="Q199" s="129"/>
      <c r="R199" s="220" t="s">
        <v>1350</v>
      </c>
      <c r="S199" s="127"/>
      <c r="T199" s="140"/>
      <c r="U199" s="283" t="str">
        <f>IFERROR(VLOOKUP(T199,Table_FloorOverCrawlspace,2,FALSE),"")</f>
        <v/>
      </c>
      <c r="V199" s="319" t="str">
        <f>IFERROR(VLOOKUP(T199,Table_FloorOverCrawlspace,3,FALSE),+"")</f>
        <v/>
      </c>
      <c r="W199" s="239"/>
      <c r="X199" s="239"/>
      <c r="Y199" s="239"/>
      <c r="Z199" s="239"/>
      <c r="AA199" s="239"/>
      <c r="AB199" s="79"/>
      <c r="AC199" s="284" t="str">
        <f>IFERROR(V199*AB199,"")</f>
        <v/>
      </c>
      <c r="AD199" s="437">
        <f t="shared" ref="AD199:AD202" si="67">IF(AND(T199&lt;&gt;"",OR(ISNUMBER(AB199)=FALSE,V199="")),1,IF(AND(T199="",V199="",AB199=""),0,IF(AND(U199="Custom",V199=0),1,IF(AND(V199&lt;&gt;"",AC199=0),1,IF(AND(V199="",AB199&gt;0),1,0)))))</f>
        <v>0</v>
      </c>
      <c r="AE199" s="427" t="str">
        <f>IF(U199="Custom","Refer to WSEC R402.1.5 U-factor Reference and Calculations","")</f>
        <v/>
      </c>
      <c r="AF199" s="432"/>
      <c r="AG199" s="129"/>
      <c r="AH199" s="129"/>
      <c r="AI199" s="129"/>
      <c r="AJ199" s="129"/>
      <c r="AK199" s="129"/>
      <c r="AL199" s="129"/>
      <c r="AM199" s="129"/>
      <c r="AN199" s="129"/>
      <c r="AO199" s="129"/>
      <c r="AP199" s="129"/>
      <c r="AQ199" s="129"/>
      <c r="AR199" s="129"/>
      <c r="AS199" s="129"/>
      <c r="AT199" s="129"/>
      <c r="AU199" s="129"/>
      <c r="AV199" s="129"/>
      <c r="AW199" s="129"/>
    </row>
    <row r="200" spans="1:49" ht="15.75" customHeight="1">
      <c r="A200" s="129"/>
      <c r="B200" s="129"/>
      <c r="C200" s="220"/>
      <c r="D200" s="445"/>
      <c r="E200" s="140"/>
      <c r="F200" s="282" t="str">
        <f>IFERROR(VLOOKUP($E200,Table_FloorOverCrawlspace,2,FALSE),"")</f>
        <v/>
      </c>
      <c r="G200" s="319" t="str">
        <f>IFERROR(VLOOKUP($E200,Table_FloorOverCrawlspace,3,FALSE),"")</f>
        <v/>
      </c>
      <c r="H200" s="240"/>
      <c r="I200" s="240"/>
      <c r="J200" s="240"/>
      <c r="K200" s="240"/>
      <c r="L200" s="761" t="str">
        <f t="shared" si="65"/>
        <v/>
      </c>
      <c r="M200" s="74"/>
      <c r="N200" s="284" t="str">
        <f>IFERROR(G200*M200,"")</f>
        <v/>
      </c>
      <c r="O200" s="437">
        <f t="shared" si="66"/>
        <v>0</v>
      </c>
      <c r="P200" s="427" t="str">
        <f>IF(F200="Custom",IF(G200=0,"U-value missing in Custom Input","Refer to WSEC R402.1.5 U-factor Reference and Calculations"),"")</f>
        <v/>
      </c>
      <c r="Q200" s="129"/>
      <c r="R200" s="220" t="s">
        <v>1350</v>
      </c>
      <c r="S200" s="445"/>
      <c r="T200" s="140"/>
      <c r="U200" s="283" t="str">
        <f>IFERROR(VLOOKUP(T200,Table_FloorOverCrawlspace,2,FALSE),"")</f>
        <v/>
      </c>
      <c r="V200" s="319" t="str">
        <f>IFERROR(VLOOKUP(T200,Table_FloorOverCrawlspace,3,FALSE),+"")</f>
        <v/>
      </c>
      <c r="W200" s="240"/>
      <c r="X200" s="240"/>
      <c r="Y200" s="240"/>
      <c r="Z200" s="240"/>
      <c r="AA200" s="240"/>
      <c r="AB200" s="74"/>
      <c r="AC200" s="284" t="str">
        <f>IFERROR(V200*AB200,"")</f>
        <v/>
      </c>
      <c r="AD200" s="437">
        <f t="shared" si="67"/>
        <v>0</v>
      </c>
      <c r="AE200" s="427" t="str">
        <f>IF(U200="Custom","Refer to WSEC R402.1.5 U-factor Reference and Calculations","")</f>
        <v/>
      </c>
      <c r="AF200" s="432"/>
      <c r="AG200" s="129"/>
      <c r="AH200" s="129"/>
      <c r="AI200" s="129"/>
      <c r="AJ200" s="129"/>
      <c r="AK200" s="129"/>
      <c r="AL200" s="129"/>
      <c r="AM200" s="129"/>
      <c r="AN200" s="129"/>
      <c r="AO200" s="129"/>
      <c r="AP200" s="129"/>
      <c r="AQ200" s="129"/>
      <c r="AR200" s="129"/>
      <c r="AS200" s="129"/>
      <c r="AT200" s="129"/>
      <c r="AU200" s="129"/>
      <c r="AV200" s="129"/>
      <c r="AW200" s="129"/>
    </row>
    <row r="201" spans="1:49" ht="15.75" customHeight="1">
      <c r="A201" s="129"/>
      <c r="B201" s="129"/>
      <c r="C201" s="220"/>
      <c r="D201" s="445"/>
      <c r="E201" s="140" t="s">
        <v>1350</v>
      </c>
      <c r="F201" s="282" t="str">
        <f>IFERROR(VLOOKUP($E201,Table_FloorOverCrawlspace,2,FALSE),"")</f>
        <v/>
      </c>
      <c r="G201" s="282" t="str">
        <f>IFERROR(VLOOKUP($E201,Table_FloorOverCrawlspace,3,FALSE),"")</f>
        <v/>
      </c>
      <c r="H201" s="240"/>
      <c r="I201" s="240"/>
      <c r="J201" s="240"/>
      <c r="K201" s="240"/>
      <c r="L201" s="761" t="str">
        <f t="shared" si="65"/>
        <v/>
      </c>
      <c r="M201" s="74"/>
      <c r="N201" s="284" t="str">
        <f>IFERROR(G201*M201,"")</f>
        <v/>
      </c>
      <c r="O201" s="437">
        <f t="shared" si="66"/>
        <v>0</v>
      </c>
      <c r="P201" s="427" t="str">
        <f>IF(F201="Custom",IF(G201=0,"U-value missing in Custom Input","Refer to WSEC R402.1.5 U-factor Reference and Calculations"),"")</f>
        <v/>
      </c>
      <c r="Q201" s="129"/>
      <c r="R201" s="220" t="s">
        <v>1350</v>
      </c>
      <c r="S201" s="75"/>
      <c r="T201" s="140"/>
      <c r="U201" s="283" t="str">
        <f>IFERROR(VLOOKUP(T201,Table_FloorOverCrawlspace,2,FALSE),"")</f>
        <v/>
      </c>
      <c r="V201" s="319" t="str">
        <f>IFERROR(VLOOKUP(T201,Table_FloorOverCrawlspace,3,FALSE),+"")</f>
        <v/>
      </c>
      <c r="W201" s="240"/>
      <c r="X201" s="240"/>
      <c r="Y201" s="240"/>
      <c r="Z201" s="240"/>
      <c r="AA201" s="240"/>
      <c r="AB201" s="74"/>
      <c r="AC201" s="284" t="str">
        <f>IFERROR(V201*AB201,"")</f>
        <v/>
      </c>
      <c r="AD201" s="437">
        <f t="shared" si="67"/>
        <v>0</v>
      </c>
      <c r="AE201" s="427" t="str">
        <f>IF(U201="Custom","Refer to WSEC R402.1.5 U-factor Reference and Calculations","")</f>
        <v/>
      </c>
      <c r="AF201" s="432"/>
      <c r="AG201" s="129"/>
      <c r="AH201" s="129"/>
      <c r="AI201" s="129"/>
      <c r="AJ201" s="129"/>
      <c r="AK201" s="129"/>
      <c r="AL201" s="129"/>
      <c r="AM201" s="129"/>
      <c r="AN201" s="129"/>
      <c r="AO201" s="129"/>
      <c r="AP201" s="129"/>
      <c r="AQ201" s="129"/>
      <c r="AR201" s="129"/>
      <c r="AS201" s="129"/>
      <c r="AT201" s="129"/>
      <c r="AU201" s="129"/>
      <c r="AV201" s="129"/>
      <c r="AW201" s="129"/>
    </row>
    <row r="202" spans="1:49" ht="15.75" customHeight="1">
      <c r="A202" s="129"/>
      <c r="B202" s="129"/>
      <c r="C202" s="220"/>
      <c r="D202" s="445"/>
      <c r="E202" s="140"/>
      <c r="F202" s="282" t="str">
        <f>IFERROR(VLOOKUP($E202,Table_FloorOverCrawlspace,2,FALSE),"")</f>
        <v/>
      </c>
      <c r="G202" s="282" t="str">
        <f>IFERROR(VLOOKUP($E202,Table_FloorOverCrawlspace,3,FALSE),"")</f>
        <v/>
      </c>
      <c r="H202" s="241"/>
      <c r="I202" s="241"/>
      <c r="J202" s="241"/>
      <c r="K202" s="241"/>
      <c r="L202" s="763" t="str">
        <f t="shared" si="65"/>
        <v/>
      </c>
      <c r="M202" s="74"/>
      <c r="N202" s="284" t="str">
        <f>IFERROR(G202*M202,"")</f>
        <v/>
      </c>
      <c r="O202" s="437">
        <f t="shared" si="66"/>
        <v>0</v>
      </c>
      <c r="P202" s="427" t="str">
        <f>IF(F202="Custom",IF(G202=0,"U-value missing in Custom Input","Refer to WSEC R402.1.5 U-factor Reference and Calculations"),"")</f>
        <v/>
      </c>
      <c r="Q202" s="129"/>
      <c r="R202" s="220" t="s">
        <v>1350</v>
      </c>
      <c r="S202" s="75"/>
      <c r="T202" s="140"/>
      <c r="U202" s="283" t="str">
        <f>IFERROR(VLOOKUP(T202,Table_FloorOverCrawlspace,2,FALSE),"")</f>
        <v/>
      </c>
      <c r="V202" s="319" t="str">
        <f>IFERROR(VLOOKUP(T202,Table_FloorOverCrawlspace,3,FALSE),+"")</f>
        <v/>
      </c>
      <c r="W202" s="241"/>
      <c r="X202" s="241"/>
      <c r="Y202" s="241"/>
      <c r="Z202" s="241"/>
      <c r="AA202" s="241"/>
      <c r="AB202" s="74"/>
      <c r="AC202" s="284" t="str">
        <f>IFERROR(V202*AB202,"")</f>
        <v/>
      </c>
      <c r="AD202" s="437">
        <f t="shared" si="67"/>
        <v>0</v>
      </c>
      <c r="AE202" s="427" t="str">
        <f>IF(U202="Custom","Refer to WSEC R402.1.5 U-factor Reference and Calculations","")</f>
        <v/>
      </c>
      <c r="AF202" s="432"/>
      <c r="AG202" s="129"/>
      <c r="AH202" s="129"/>
      <c r="AI202" s="129"/>
      <c r="AJ202" s="129"/>
      <c r="AK202" s="129"/>
      <c r="AL202" s="129"/>
      <c r="AM202" s="129"/>
      <c r="AN202" s="129"/>
      <c r="AO202" s="129"/>
      <c r="AP202" s="129"/>
      <c r="AQ202" s="129"/>
      <c r="AR202" s="129"/>
      <c r="AS202" s="129"/>
      <c r="AT202" s="129"/>
      <c r="AU202" s="129"/>
      <c r="AV202" s="129"/>
      <c r="AW202" s="129"/>
    </row>
    <row r="203" spans="1:49" ht="15.75" customHeight="1">
      <c r="A203" s="129"/>
      <c r="B203" s="129"/>
      <c r="C203" s="220"/>
      <c r="D203" s="225"/>
      <c r="E203" s="225"/>
      <c r="F203" s="270"/>
      <c r="G203" s="225"/>
      <c r="H203" s="1167" t="s">
        <v>1363</v>
      </c>
      <c r="I203" s="1167"/>
      <c r="J203" s="1167"/>
      <c r="K203" s="1167"/>
      <c r="L203" s="1168"/>
      <c r="M203" s="316">
        <f>IF(O203&gt;0,"",SUM(M199:M202))</f>
        <v>1578</v>
      </c>
      <c r="N203" s="316">
        <f>IF(O203&gt;0,"Error",SUM(N199:N202))</f>
        <v>45.762</v>
      </c>
      <c r="O203" s="297">
        <f>SUM(O199:O202)</f>
        <v>0</v>
      </c>
      <c r="P203" s="434">
        <f>ROW(P202)-ROW(P199)+1-COUNTBLANK(P199:P202)</f>
        <v>0</v>
      </c>
      <c r="Q203" s="129"/>
      <c r="R203" s="220" t="s">
        <v>1350</v>
      </c>
      <c r="S203" s="225"/>
      <c r="T203" s="225"/>
      <c r="U203" s="270"/>
      <c r="V203" s="225"/>
      <c r="W203" s="1167" t="s">
        <v>1363</v>
      </c>
      <c r="X203" s="1167"/>
      <c r="Y203" s="1167"/>
      <c r="Z203" s="1167"/>
      <c r="AA203" s="1168"/>
      <c r="AB203" s="316">
        <f>IF(AD203&gt;0,"",SUM(AB199:AB202))</f>
        <v>0</v>
      </c>
      <c r="AC203" s="316">
        <f>IF(AD203&gt;0,"Error",SUM(AC199:AC202))</f>
        <v>0</v>
      </c>
      <c r="AD203" s="297">
        <f>SUM(AD199:AD202)</f>
        <v>0</v>
      </c>
      <c r="AE203" s="434">
        <f>ROW(AE202)-ROW(AE199)+1-COUNTBLANK(AE199:AE202)</f>
        <v>0</v>
      </c>
      <c r="AF203" s="432"/>
      <c r="AG203" s="129"/>
      <c r="AH203" s="129"/>
      <c r="AI203" s="129"/>
      <c r="AJ203" s="129"/>
      <c r="AK203" s="129"/>
      <c r="AL203" s="129"/>
      <c r="AM203" s="129"/>
      <c r="AN203" s="129"/>
      <c r="AO203" s="129"/>
      <c r="AP203" s="129"/>
      <c r="AQ203" s="129"/>
      <c r="AR203" s="129"/>
      <c r="AS203" s="129"/>
      <c r="AT203" s="129"/>
      <c r="AU203" s="129"/>
      <c r="AV203" s="129"/>
      <c r="AW203" s="129"/>
    </row>
    <row r="204" spans="1:49" ht="15.75" customHeight="1">
      <c r="A204" s="129"/>
      <c r="B204" s="129"/>
      <c r="C204" s="220"/>
      <c r="D204" s="225"/>
      <c r="E204" s="225"/>
      <c r="F204" s="270"/>
      <c r="G204" s="225"/>
      <c r="H204" s="249"/>
      <c r="I204" s="249"/>
      <c r="J204" s="249"/>
      <c r="K204" s="249"/>
      <c r="L204" s="249" t="s">
        <v>3208</v>
      </c>
      <c r="M204" s="249"/>
      <c r="N204" s="296">
        <f>IFERROR(N203/M203,"")</f>
        <v>2.9000000000000001E-2</v>
      </c>
      <c r="O204" s="297"/>
      <c r="P204" s="434"/>
      <c r="Q204" s="129"/>
      <c r="R204" s="220"/>
      <c r="S204" s="225"/>
      <c r="T204" s="225"/>
      <c r="U204" s="270"/>
      <c r="V204" s="225"/>
      <c r="W204" s="249"/>
      <c r="X204" s="249"/>
      <c r="Y204" s="249"/>
      <c r="Z204" s="249"/>
      <c r="AA204" s="249" t="s">
        <v>3208</v>
      </c>
      <c r="AB204" s="249"/>
      <c r="AC204" s="296" t="str">
        <f>IFERROR(AC203/AB203,"")</f>
        <v/>
      </c>
      <c r="AD204" s="297"/>
      <c r="AE204" s="434"/>
      <c r="AF204" s="432"/>
      <c r="AG204" s="129"/>
      <c r="AH204" s="129"/>
      <c r="AI204" s="129"/>
      <c r="AJ204" s="129"/>
      <c r="AK204" s="129"/>
      <c r="AL204" s="129"/>
      <c r="AM204" s="129"/>
      <c r="AN204" s="129"/>
      <c r="AO204" s="129"/>
      <c r="AP204" s="129"/>
      <c r="AQ204" s="129"/>
      <c r="AR204" s="129"/>
      <c r="AS204" s="129"/>
      <c r="AT204" s="129"/>
      <c r="AU204" s="129"/>
      <c r="AV204" s="129"/>
      <c r="AW204" s="129"/>
    </row>
    <row r="205" spans="1:49" ht="15.75" customHeight="1">
      <c r="A205" s="129"/>
      <c r="B205" s="129"/>
      <c r="C205" s="266"/>
      <c r="D205" s="137"/>
      <c r="E205" s="137"/>
      <c r="F205" s="272"/>
      <c r="G205" s="137"/>
      <c r="H205" s="137"/>
      <c r="I205" s="137"/>
      <c r="J205" s="137"/>
      <c r="K205" s="137"/>
      <c r="L205" s="137"/>
      <c r="M205" s="137"/>
      <c r="N205" s="137"/>
      <c r="O205" s="237"/>
      <c r="P205" s="432"/>
      <c r="Q205" s="129"/>
      <c r="R205" s="266"/>
      <c r="S205" s="137"/>
      <c r="T205" s="137"/>
      <c r="U205" s="272"/>
      <c r="V205" s="137"/>
      <c r="W205" s="137"/>
      <c r="X205" s="137"/>
      <c r="Y205" s="137"/>
      <c r="Z205" s="137"/>
      <c r="AA205" s="137"/>
      <c r="AB205" s="137"/>
      <c r="AC205" s="137"/>
      <c r="AD205" s="237"/>
      <c r="AE205" s="432"/>
      <c r="AF205" s="432"/>
      <c r="AG205" s="129"/>
      <c r="AH205" s="129"/>
      <c r="AI205" s="129"/>
      <c r="AJ205" s="129"/>
      <c r="AK205" s="129"/>
      <c r="AL205" s="129"/>
      <c r="AM205" s="129"/>
      <c r="AN205" s="129"/>
      <c r="AO205" s="129"/>
      <c r="AP205" s="129"/>
      <c r="AQ205" s="129"/>
      <c r="AR205" s="129"/>
      <c r="AS205" s="129"/>
      <c r="AT205" s="129"/>
      <c r="AU205" s="129"/>
      <c r="AV205" s="129"/>
      <c r="AW205" s="129"/>
    </row>
    <row r="206" spans="1:49" ht="15.75" customHeight="1">
      <c r="A206" s="129"/>
      <c r="B206" s="129"/>
      <c r="C206" s="129"/>
      <c r="D206" s="129"/>
      <c r="E206" s="129"/>
      <c r="F206" s="142"/>
      <c r="G206" s="129"/>
      <c r="H206" s="129"/>
      <c r="I206" s="129"/>
      <c r="J206" s="129"/>
      <c r="K206" s="129"/>
      <c r="L206" s="129"/>
      <c r="M206" s="129"/>
      <c r="N206" s="129"/>
      <c r="O206" s="129"/>
      <c r="P206" s="432"/>
      <c r="Q206" s="129"/>
      <c r="R206" s="129"/>
      <c r="S206" s="129"/>
      <c r="T206" s="129"/>
      <c r="U206" s="142"/>
      <c r="V206" s="129"/>
      <c r="W206" s="129"/>
      <c r="X206" s="129"/>
      <c r="Y206" s="129"/>
      <c r="Z206" s="129"/>
      <c r="AA206" s="129"/>
      <c r="AB206" s="129"/>
      <c r="AC206" s="129"/>
      <c r="AD206" s="129"/>
      <c r="AE206" s="432"/>
      <c r="AF206" s="432"/>
      <c r="AG206" s="129"/>
      <c r="AH206" s="129"/>
      <c r="AI206" s="129"/>
      <c r="AJ206" s="129"/>
      <c r="AK206" s="129"/>
      <c r="AL206" s="129"/>
      <c r="AM206" s="129"/>
      <c r="AN206" s="129"/>
      <c r="AO206" s="129"/>
      <c r="AP206" s="129"/>
      <c r="AQ206" s="129"/>
      <c r="AR206" s="129"/>
      <c r="AS206" s="129"/>
      <c r="AT206" s="129"/>
      <c r="AU206" s="129"/>
      <c r="AV206" s="129"/>
      <c r="AW206" s="129"/>
    </row>
    <row r="207" spans="1:49" ht="20.100000000000001" customHeight="1">
      <c r="A207" s="588"/>
      <c r="C207" s="253"/>
      <c r="D207" s="262" t="s">
        <v>1365</v>
      </c>
      <c r="E207" s="254"/>
      <c r="F207" s="322"/>
      <c r="G207" s="276"/>
      <c r="H207" s="276"/>
      <c r="I207" s="276"/>
      <c r="J207" s="276"/>
      <c r="K207" s="276"/>
      <c r="L207" s="276"/>
      <c r="M207" s="276"/>
      <c r="N207" s="276"/>
      <c r="O207" s="255"/>
      <c r="P207" s="432"/>
      <c r="Q207" s="129"/>
      <c r="R207" s="253"/>
      <c r="S207" s="262" t="s">
        <v>1365</v>
      </c>
      <c r="T207" s="254"/>
      <c r="U207" s="322"/>
      <c r="V207" s="276"/>
      <c r="W207" s="276"/>
      <c r="X207" s="276"/>
      <c r="Y207" s="276"/>
      <c r="Z207" s="276"/>
      <c r="AA207" s="276"/>
      <c r="AB207" s="276"/>
      <c r="AC207" s="276"/>
      <c r="AD207" s="255"/>
      <c r="AE207" s="432"/>
      <c r="AF207" s="432"/>
      <c r="AG207" s="129"/>
      <c r="AH207" s="129"/>
      <c r="AI207" s="129"/>
      <c r="AJ207" s="129"/>
      <c r="AK207" s="129"/>
      <c r="AL207" s="129"/>
      <c r="AM207" s="129"/>
      <c r="AN207" s="129"/>
      <c r="AO207" s="129"/>
      <c r="AP207" s="129"/>
      <c r="AQ207" s="129"/>
      <c r="AR207" s="129"/>
      <c r="AS207" s="129"/>
      <c r="AT207" s="129"/>
      <c r="AU207" s="129"/>
      <c r="AV207" s="129"/>
      <c r="AW207" s="129"/>
    </row>
    <row r="208" spans="1:49" ht="15.75" customHeight="1">
      <c r="A208" s="129"/>
      <c r="B208" s="129"/>
      <c r="C208" s="216"/>
      <c r="D208" s="289" t="s">
        <v>1337</v>
      </c>
      <c r="E208" s="290" t="s">
        <v>1339</v>
      </c>
      <c r="F208" s="337"/>
      <c r="G208" s="291" t="s">
        <v>1336</v>
      </c>
      <c r="H208" s="338"/>
      <c r="I208" s="338"/>
      <c r="J208" s="338"/>
      <c r="K208" s="338"/>
      <c r="L208" s="338"/>
      <c r="M208" s="1188" t="s">
        <v>2354</v>
      </c>
      <c r="N208" s="290"/>
      <c r="O208" s="341"/>
      <c r="P208" s="432"/>
      <c r="Q208" s="129"/>
      <c r="R208" s="216"/>
      <c r="S208" s="289" t="s">
        <v>1337</v>
      </c>
      <c r="T208" s="290" t="s">
        <v>1339</v>
      </c>
      <c r="U208" s="337"/>
      <c r="V208" s="291" t="s">
        <v>1336</v>
      </c>
      <c r="W208" s="338"/>
      <c r="X208" s="338"/>
      <c r="Y208" s="338"/>
      <c r="Z208" s="338"/>
      <c r="AA208" s="338"/>
      <c r="AB208" s="1188" t="s">
        <v>2354</v>
      </c>
      <c r="AC208" s="290"/>
      <c r="AD208" s="341"/>
      <c r="AE208" s="432"/>
      <c r="AF208" s="432"/>
      <c r="AG208" s="129"/>
      <c r="AH208" s="129"/>
      <c r="AI208" s="129"/>
      <c r="AJ208" s="129"/>
      <c r="AK208" s="129"/>
      <c r="AL208" s="129"/>
      <c r="AM208" s="129"/>
      <c r="AN208" s="129"/>
      <c r="AO208" s="129"/>
      <c r="AP208" s="129"/>
      <c r="AQ208" s="129"/>
      <c r="AR208" s="129"/>
      <c r="AS208" s="129"/>
      <c r="AT208" s="129"/>
      <c r="AU208" s="129"/>
      <c r="AV208" s="129"/>
      <c r="AW208" s="129"/>
    </row>
    <row r="209" spans="1:49" ht="15.75" customHeight="1">
      <c r="A209" s="129"/>
      <c r="B209" s="129"/>
      <c r="C209" s="220"/>
      <c r="D209" s="292" t="s">
        <v>1338</v>
      </c>
      <c r="E209" s="293" t="s">
        <v>1340</v>
      </c>
      <c r="F209" s="339" t="s">
        <v>1354</v>
      </c>
      <c r="G209" s="293" t="s">
        <v>1345</v>
      </c>
      <c r="H209" s="340"/>
      <c r="I209" s="340"/>
      <c r="J209" s="340"/>
      <c r="K209" s="340"/>
      <c r="L209" s="340"/>
      <c r="M209" s="1189" t="s">
        <v>2057</v>
      </c>
      <c r="N209" s="293" t="s">
        <v>2178</v>
      </c>
      <c r="O209" s="342"/>
      <c r="P209" s="432"/>
      <c r="Q209" s="129"/>
      <c r="R209" s="220"/>
      <c r="S209" s="292" t="s">
        <v>1338</v>
      </c>
      <c r="T209" s="293" t="s">
        <v>1340</v>
      </c>
      <c r="U209" s="339" t="s">
        <v>1354</v>
      </c>
      <c r="V209" s="293" t="s">
        <v>1345</v>
      </c>
      <c r="W209" s="340"/>
      <c r="X209" s="340"/>
      <c r="Y209" s="340"/>
      <c r="Z209" s="340"/>
      <c r="AA209" s="340"/>
      <c r="AB209" s="1189" t="s">
        <v>2057</v>
      </c>
      <c r="AC209" s="293" t="s">
        <v>2178</v>
      </c>
      <c r="AD209" s="342"/>
      <c r="AE209" s="432"/>
      <c r="AF209" s="432"/>
      <c r="AG209" s="129"/>
      <c r="AH209" s="129"/>
      <c r="AI209" s="129"/>
      <c r="AJ209" s="129"/>
      <c r="AK209" s="129"/>
      <c r="AL209" s="129"/>
      <c r="AM209" s="129"/>
      <c r="AN209" s="129"/>
      <c r="AO209" s="129"/>
      <c r="AP209" s="129"/>
      <c r="AQ209" s="129"/>
      <c r="AR209" s="129"/>
      <c r="AS209" s="129"/>
      <c r="AT209" s="129"/>
      <c r="AU209" s="129"/>
      <c r="AV209" s="129"/>
      <c r="AW209" s="129"/>
    </row>
    <row r="210" spans="1:49" ht="15.75" customHeight="1">
      <c r="A210" s="129"/>
      <c r="B210" s="129"/>
      <c r="C210" s="220"/>
      <c r="D210" s="445"/>
      <c r="E210" s="140"/>
      <c r="F210" s="283" t="str">
        <f>IFERROR(VLOOKUP($E210,Table_SlabOnGrade,2,FALSE),"")</f>
        <v/>
      </c>
      <c r="G210" s="319" t="str">
        <f>IFERROR(VLOOKUP($E210,Table_SlabOnGrade,3,FALSE),+"")</f>
        <v/>
      </c>
      <c r="H210" s="239"/>
      <c r="I210" s="239"/>
      <c r="J210" s="239"/>
      <c r="K210" s="239"/>
      <c r="L210" s="762" t="str">
        <f t="shared" ref="L210:L213" si="68">IF(AND(F210="NA",M210&lt;&gt;""), "Error: Leave area blank","")</f>
        <v/>
      </c>
      <c r="M210" s="79"/>
      <c r="N210" s="284" t="str">
        <f>IFERROR(G210*M210,"")</f>
        <v/>
      </c>
      <c r="O210" s="437">
        <f t="shared" ref="O210:O213" si="69">IF(L210&lt;&gt;"",1,IF(F210="NA",0,IF(AND(TRIM(E210)&lt;&gt;"",OR(ISNUMBER(M210)=FALSE,G210="")),1,IF(AND(TRIM(E210)="",G210="",TRIM(M210)=""),0,IF(AND(F210="Custom",G210=0),1,IF(AND(G210&lt;&gt;"",N210=0),1,IF(AND(G210="",M210&gt;0),1,0)))))))</f>
        <v>0</v>
      </c>
      <c r="P210" s="427" t="str">
        <f t="shared" ref="P210:P213" si="70">IF(F210="Custom",IF(G210=0,"U-value missing in Custom Input","Refer to WSEC R402.1.5 U-factor Reference and Calculations"),"")</f>
        <v/>
      </c>
      <c r="Q210" s="129"/>
      <c r="R210" s="333" t="s">
        <v>1350</v>
      </c>
      <c r="S210" s="75"/>
      <c r="T210" s="140" t="s">
        <v>3060</v>
      </c>
      <c r="U210" s="283" t="str">
        <f>IFERROR(VLOOKUP(T210,Table_SlabOnGrade,2,FALSE),"")</f>
        <v>WSU</v>
      </c>
      <c r="V210" s="319">
        <f>IFERROR(VLOOKUP(T210,Table_SlabOnGrade,3,FALSE),+"")</f>
        <v>0.54</v>
      </c>
      <c r="W210" s="239"/>
      <c r="X210" s="239"/>
      <c r="Y210" s="239"/>
      <c r="Z210" s="239"/>
      <c r="AA210" s="239"/>
      <c r="AB210" s="79">
        <v>139</v>
      </c>
      <c r="AC210" s="284">
        <f>IFERROR(V210*AB210,"")</f>
        <v>75.06</v>
      </c>
      <c r="AD210" s="437">
        <f t="shared" ref="AD210:AD213" si="71">IF(AND(T210&lt;&gt;"",OR(ISNUMBER(AB210)=FALSE,V210="")),1,IF(AND(T210="",V210="",AB210=""),0,IF(AND(U210="Custom",V210=0),1,IF(AND(V210&lt;&gt;"",AC210=0),1,IF(AND(V210="",AB210&gt;0),1,0)))))</f>
        <v>0</v>
      </c>
      <c r="AE210" s="427" t="str">
        <f>IF(U210="Custom","Refer to WSEC R402.1.5 U-factor Reference and Calculations","")</f>
        <v/>
      </c>
      <c r="AF210" s="432"/>
      <c r="AG210" s="129"/>
      <c r="AH210" s="129"/>
      <c r="AI210" s="129"/>
      <c r="AJ210" s="129"/>
      <c r="AK210" s="129"/>
      <c r="AL210" s="129"/>
      <c r="AM210" s="129"/>
      <c r="AN210" s="129"/>
      <c r="AO210" s="129"/>
      <c r="AP210" s="129"/>
      <c r="AQ210" s="129"/>
      <c r="AR210" s="129"/>
      <c r="AS210" s="129"/>
      <c r="AT210" s="129"/>
      <c r="AU210" s="129"/>
      <c r="AV210" s="129"/>
      <c r="AW210" s="129"/>
    </row>
    <row r="211" spans="1:49" ht="15.75" customHeight="1">
      <c r="A211" s="129"/>
      <c r="B211" s="129"/>
      <c r="C211" s="220"/>
      <c r="D211" s="445"/>
      <c r="E211" s="140"/>
      <c r="F211" s="283" t="str">
        <f>IFERROR(VLOOKUP($E211,Table_SlabOnGrade,2,FALSE),"")</f>
        <v/>
      </c>
      <c r="G211" s="282" t="str">
        <f>IFERROR(VLOOKUP($E211,Table_SlabOnGrade,3,FALSE),"")</f>
        <v/>
      </c>
      <c r="H211" s="240"/>
      <c r="I211" s="240"/>
      <c r="J211" s="240"/>
      <c r="K211" s="240"/>
      <c r="L211" s="761" t="str">
        <f t="shared" si="68"/>
        <v/>
      </c>
      <c r="M211" s="1002"/>
      <c r="N211" s="284" t="str">
        <f>IFERROR(G211*M211,"")</f>
        <v/>
      </c>
      <c r="O211" s="437">
        <f t="shared" si="69"/>
        <v>0</v>
      </c>
      <c r="P211" s="427" t="str">
        <f t="shared" si="70"/>
        <v/>
      </c>
      <c r="Q211" s="129"/>
      <c r="R211" s="333" t="s">
        <v>1350</v>
      </c>
      <c r="S211" s="75"/>
      <c r="T211" s="140"/>
      <c r="U211" s="283" t="str">
        <f>IFERROR(VLOOKUP(T211,Table_SlabOnGrade,2,FALSE),"")</f>
        <v/>
      </c>
      <c r="V211" s="319" t="str">
        <f>IFERROR(VLOOKUP(T211,Table_SlabOnGrade,3,FALSE),+"")</f>
        <v/>
      </c>
      <c r="W211" s="240"/>
      <c r="X211" s="240"/>
      <c r="Y211" s="240"/>
      <c r="Z211" s="240"/>
      <c r="AA211" s="240"/>
      <c r="AB211" s="74"/>
      <c r="AC211" s="284" t="str">
        <f>IFERROR(V211*AB211,"")</f>
        <v/>
      </c>
      <c r="AD211" s="437">
        <f t="shared" si="71"/>
        <v>0</v>
      </c>
      <c r="AE211" s="427" t="str">
        <f>IF(U211="Custom","Refer to WSEC R402.1.5 U-factor Reference and Calculations","")</f>
        <v/>
      </c>
      <c r="AF211" s="432"/>
      <c r="AG211" s="129"/>
      <c r="AH211" s="129"/>
      <c r="AI211" s="129"/>
      <c r="AJ211" s="129"/>
      <c r="AK211" s="129"/>
      <c r="AL211" s="129"/>
      <c r="AM211" s="129"/>
      <c r="AN211" s="129"/>
      <c r="AO211" s="129"/>
      <c r="AP211" s="129"/>
      <c r="AQ211" s="129"/>
      <c r="AR211" s="129"/>
      <c r="AS211" s="129"/>
      <c r="AT211" s="129"/>
      <c r="AU211" s="129"/>
      <c r="AV211" s="129"/>
      <c r="AW211" s="129"/>
    </row>
    <row r="212" spans="1:49" ht="15.75" customHeight="1">
      <c r="A212" s="129"/>
      <c r="B212" s="129"/>
      <c r="C212" s="220"/>
      <c r="D212" s="75"/>
      <c r="E212" s="140"/>
      <c r="F212" s="283" t="str">
        <f>IFERROR(VLOOKUP($E212,Table_SlabOnGrade,2,FALSE),"")</f>
        <v/>
      </c>
      <c r="G212" s="282" t="str">
        <f>IFERROR(VLOOKUP($E212,Table_SlabOnGrade,3,FALSE),+"")</f>
        <v/>
      </c>
      <c r="H212" s="240"/>
      <c r="I212" s="240"/>
      <c r="J212" s="240"/>
      <c r="K212" s="240"/>
      <c r="L212" s="761" t="str">
        <f t="shared" si="68"/>
        <v/>
      </c>
      <c r="M212" s="74"/>
      <c r="N212" s="284" t="str">
        <f>IFERROR(G212*M212,"")</f>
        <v/>
      </c>
      <c r="O212" s="437">
        <f t="shared" si="69"/>
        <v>0</v>
      </c>
      <c r="P212" s="427" t="str">
        <f t="shared" si="70"/>
        <v/>
      </c>
      <c r="Q212" s="129"/>
      <c r="R212" s="333" t="s">
        <v>1350</v>
      </c>
      <c r="S212" s="75"/>
      <c r="T212" s="140"/>
      <c r="U212" s="283" t="str">
        <f>IFERROR(VLOOKUP(T212,Table_SlabOnGrade,2,FALSE),"")</f>
        <v/>
      </c>
      <c r="V212" s="319" t="str">
        <f>IFERROR(VLOOKUP(T212,Table_SlabOnGrade,3,FALSE),+"")</f>
        <v/>
      </c>
      <c r="W212" s="240"/>
      <c r="X212" s="240"/>
      <c r="Y212" s="240"/>
      <c r="Z212" s="240"/>
      <c r="AA212" s="240"/>
      <c r="AB212" s="74"/>
      <c r="AC212" s="284" t="str">
        <f>IFERROR(V212*AB212,"")</f>
        <v/>
      </c>
      <c r="AD212" s="437">
        <f t="shared" si="71"/>
        <v>0</v>
      </c>
      <c r="AE212" s="427" t="str">
        <f>IF(U212="Custom","Refer to WSEC R402.1.5 U-factor Reference and Calculations","")</f>
        <v/>
      </c>
      <c r="AF212" s="432"/>
      <c r="AG212" s="129"/>
      <c r="AH212" s="129"/>
      <c r="AI212" s="129"/>
      <c r="AJ212" s="129"/>
      <c r="AK212" s="129"/>
      <c r="AL212" s="129"/>
      <c r="AM212" s="129"/>
      <c r="AN212" s="129"/>
      <c r="AO212" s="129"/>
      <c r="AP212" s="129"/>
      <c r="AQ212" s="129"/>
      <c r="AR212" s="129"/>
      <c r="AS212" s="129"/>
      <c r="AT212" s="129"/>
      <c r="AU212" s="129"/>
      <c r="AV212" s="129"/>
      <c r="AW212" s="129"/>
    </row>
    <row r="213" spans="1:49" ht="15.75" customHeight="1">
      <c r="A213" s="129"/>
      <c r="B213" s="129"/>
      <c r="C213" s="220"/>
      <c r="D213" s="75"/>
      <c r="E213" s="140"/>
      <c r="F213" s="283" t="str">
        <f>IFERROR(VLOOKUP($E213,Table_SlabOnGrade,2,FALSE),"")</f>
        <v/>
      </c>
      <c r="G213" s="282" t="str">
        <f>IFERROR(VLOOKUP($E213,Table_SlabOnGrade,3,FALSE),+"")</f>
        <v/>
      </c>
      <c r="H213" s="241"/>
      <c r="I213" s="241"/>
      <c r="J213" s="241"/>
      <c r="K213" s="241"/>
      <c r="L213" s="763" t="str">
        <f t="shared" si="68"/>
        <v/>
      </c>
      <c r="M213" s="74"/>
      <c r="N213" s="284" t="str">
        <f>IFERROR(G213*M213,"")</f>
        <v/>
      </c>
      <c r="O213" s="437">
        <f t="shared" si="69"/>
        <v>0</v>
      </c>
      <c r="P213" s="427" t="str">
        <f t="shared" si="70"/>
        <v/>
      </c>
      <c r="Q213" s="129"/>
      <c r="R213" s="333" t="s">
        <v>1350</v>
      </c>
      <c r="S213" s="75"/>
      <c r="T213" s="140"/>
      <c r="U213" s="283" t="str">
        <f>IFERROR(VLOOKUP(T213,Table_SlabOnGrade,2,FALSE),"")</f>
        <v/>
      </c>
      <c r="V213" s="319" t="str">
        <f>IFERROR(VLOOKUP(T213,Table_SlabOnGrade,3,FALSE),+"")</f>
        <v/>
      </c>
      <c r="W213" s="241"/>
      <c r="X213" s="241"/>
      <c r="Y213" s="241"/>
      <c r="Z213" s="241"/>
      <c r="AA213" s="241"/>
      <c r="AB213" s="74"/>
      <c r="AC213" s="284" t="str">
        <f>IFERROR(V213*AB213,"")</f>
        <v/>
      </c>
      <c r="AD213" s="437">
        <f t="shared" si="71"/>
        <v>0</v>
      </c>
      <c r="AE213" s="427" t="str">
        <f>IF(U213="Custom","Refer to WSEC R402.1.5 U-factor Reference and Calculations","")</f>
        <v/>
      </c>
      <c r="AF213" s="432"/>
      <c r="AG213" s="129"/>
      <c r="AH213" s="129"/>
      <c r="AI213" s="129"/>
      <c r="AJ213" s="129"/>
      <c r="AK213" s="129"/>
      <c r="AL213" s="129"/>
      <c r="AM213" s="129"/>
      <c r="AN213" s="129"/>
      <c r="AO213" s="129"/>
      <c r="AP213" s="129"/>
      <c r="AQ213" s="129"/>
      <c r="AR213" s="129"/>
      <c r="AS213" s="129"/>
      <c r="AT213" s="129"/>
      <c r="AU213" s="129"/>
      <c r="AV213" s="129"/>
      <c r="AW213" s="129"/>
    </row>
    <row r="214" spans="1:49" ht="15.75" customHeight="1">
      <c r="A214" s="129"/>
      <c r="B214" s="129"/>
      <c r="C214" s="220"/>
      <c r="D214" s="225"/>
      <c r="E214" s="225"/>
      <c r="F214" s="270"/>
      <c r="G214" s="225"/>
      <c r="H214" s="1167" t="s">
        <v>2177</v>
      </c>
      <c r="I214" s="1167"/>
      <c r="J214" s="1167"/>
      <c r="K214" s="1167"/>
      <c r="L214" s="1168"/>
      <c r="M214" s="316">
        <f>IF(O214&gt;0,"",SUM(M210:M213))</f>
        <v>0</v>
      </c>
      <c r="N214" s="316">
        <f>IF(O214&gt;0,"Error",SUM(N210:N213))</f>
        <v>0</v>
      </c>
      <c r="O214" s="437">
        <f>SUM(O210:O213)</f>
        <v>0</v>
      </c>
      <c r="P214" s="434">
        <f>ROW(P213)-ROW(P210)+1-COUNTBLANK(P210:P213)</f>
        <v>0</v>
      </c>
      <c r="Q214" s="129"/>
      <c r="R214" s="220"/>
      <c r="S214" s="225"/>
      <c r="T214" s="225"/>
      <c r="U214" s="270"/>
      <c r="V214" s="225"/>
      <c r="W214" s="1167" t="s">
        <v>2177</v>
      </c>
      <c r="X214" s="1167"/>
      <c r="Y214" s="1167"/>
      <c r="Z214" s="1167"/>
      <c r="AA214" s="1168"/>
      <c r="AB214" s="316">
        <f>IF(AD214&gt;0,"",SUM(AB210:AB213))</f>
        <v>139</v>
      </c>
      <c r="AC214" s="316">
        <f>IF(AD214&gt;0,"Error",SUM(AC210:AC213))</f>
        <v>75.06</v>
      </c>
      <c r="AD214" s="297">
        <f>SUM(AD210:AD213)</f>
        <v>0</v>
      </c>
      <c r="AE214" s="434">
        <f>ROW(AE213)-ROW(AE210)+1-COUNTBLANK(AE210:AE213)</f>
        <v>0</v>
      </c>
      <c r="AF214" s="432"/>
      <c r="AG214" s="129"/>
      <c r="AH214" s="129"/>
      <c r="AI214" s="129"/>
      <c r="AJ214" s="129"/>
      <c r="AK214" s="129"/>
      <c r="AL214" s="129"/>
      <c r="AM214" s="129"/>
      <c r="AN214" s="129"/>
      <c r="AO214" s="129"/>
      <c r="AP214" s="129"/>
      <c r="AQ214" s="129"/>
      <c r="AR214" s="129"/>
      <c r="AS214" s="129"/>
      <c r="AT214" s="129"/>
      <c r="AU214" s="129"/>
      <c r="AV214" s="129"/>
      <c r="AW214" s="129"/>
    </row>
    <row r="215" spans="1:49" ht="15.75" customHeight="1">
      <c r="A215" s="129"/>
      <c r="B215" s="129"/>
      <c r="C215" s="220"/>
      <c r="D215" s="225"/>
      <c r="E215" s="225"/>
      <c r="F215" s="270"/>
      <c r="G215" s="225"/>
      <c r="H215" s="249"/>
      <c r="I215" s="249"/>
      <c r="J215" s="249"/>
      <c r="K215" s="249"/>
      <c r="L215" s="249" t="s">
        <v>3208</v>
      </c>
      <c r="M215" s="249"/>
      <c r="N215" s="296" t="str">
        <f>IFERROR(N214/M214,"")</f>
        <v/>
      </c>
      <c r="O215" s="437"/>
      <c r="P215" s="434"/>
      <c r="Q215" s="129"/>
      <c r="R215" s="220"/>
      <c r="S215" s="225"/>
      <c r="T215" s="225"/>
      <c r="U215" s="270"/>
      <c r="V215" s="225"/>
      <c r="W215" s="249"/>
      <c r="X215" s="249"/>
      <c r="Y215" s="249"/>
      <c r="Z215" s="249"/>
      <c r="AA215" s="249" t="s">
        <v>3208</v>
      </c>
      <c r="AB215" s="249"/>
      <c r="AC215" s="296">
        <f>IFERROR(AC214/AB214,"")</f>
        <v>0.54</v>
      </c>
      <c r="AD215" s="297"/>
      <c r="AE215" s="434"/>
      <c r="AF215" s="432"/>
      <c r="AG215" s="129"/>
      <c r="AH215" s="129"/>
      <c r="AI215" s="129"/>
      <c r="AJ215" s="129"/>
      <c r="AK215" s="129"/>
      <c r="AL215" s="129"/>
      <c r="AM215" s="129"/>
      <c r="AN215" s="129"/>
      <c r="AO215" s="129"/>
      <c r="AP215" s="129"/>
      <c r="AQ215" s="129"/>
      <c r="AR215" s="129"/>
      <c r="AS215" s="129"/>
      <c r="AT215" s="129"/>
      <c r="AU215" s="129"/>
      <c r="AV215" s="129"/>
      <c r="AW215" s="129"/>
    </row>
    <row r="216" spans="1:49" ht="15.75" customHeight="1">
      <c r="A216" s="129"/>
      <c r="B216" s="129"/>
      <c r="C216" s="266"/>
      <c r="D216" s="137"/>
      <c r="E216" s="137"/>
      <c r="F216" s="272"/>
      <c r="G216" s="137"/>
      <c r="H216" s="137"/>
      <c r="I216" s="137"/>
      <c r="J216" s="137"/>
      <c r="K216" s="137"/>
      <c r="L216" s="137"/>
      <c r="M216" s="137"/>
      <c r="N216" s="137"/>
      <c r="O216" s="237"/>
      <c r="P216" s="432"/>
      <c r="Q216" s="129"/>
      <c r="R216" s="266"/>
      <c r="S216" s="137"/>
      <c r="T216" s="137"/>
      <c r="U216" s="272"/>
      <c r="V216" s="137"/>
      <c r="W216" s="137"/>
      <c r="X216" s="137"/>
      <c r="Y216" s="137"/>
      <c r="Z216" s="137"/>
      <c r="AA216" s="137"/>
      <c r="AB216" s="137"/>
      <c r="AC216" s="137"/>
      <c r="AD216" s="237"/>
      <c r="AE216" s="432"/>
      <c r="AF216" s="432"/>
      <c r="AG216" s="129"/>
      <c r="AH216" s="129"/>
      <c r="AI216" s="129"/>
      <c r="AJ216" s="129"/>
      <c r="AK216" s="129"/>
      <c r="AL216" s="129"/>
      <c r="AM216" s="129"/>
      <c r="AN216" s="129"/>
      <c r="AO216" s="129"/>
      <c r="AP216" s="129"/>
      <c r="AQ216" s="129"/>
      <c r="AR216" s="129"/>
      <c r="AS216" s="129"/>
      <c r="AT216" s="129"/>
      <c r="AU216" s="129"/>
      <c r="AV216" s="129"/>
      <c r="AW216" s="129"/>
    </row>
    <row r="217" spans="1:49" ht="15.75" customHeight="1">
      <c r="A217" s="129"/>
      <c r="B217" s="129"/>
      <c r="C217" s="129"/>
      <c r="D217" s="129"/>
      <c r="E217" s="129"/>
      <c r="F217" s="142"/>
      <c r="G217" s="129"/>
      <c r="H217" s="129"/>
      <c r="I217" s="129"/>
      <c r="J217" s="129"/>
      <c r="K217" s="129"/>
      <c r="L217" s="129"/>
      <c r="M217" s="129"/>
      <c r="N217" s="129"/>
      <c r="O217" s="129"/>
      <c r="P217" s="432"/>
      <c r="Q217" s="129"/>
      <c r="R217" s="129"/>
      <c r="S217" s="129"/>
      <c r="T217" s="129"/>
      <c r="U217" s="142"/>
      <c r="V217" s="129"/>
      <c r="W217" s="129"/>
      <c r="X217" s="129"/>
      <c r="Y217" s="129"/>
      <c r="Z217" s="129"/>
      <c r="AA217" s="129"/>
      <c r="AB217" s="129"/>
      <c r="AC217" s="129"/>
      <c r="AD217" s="129"/>
      <c r="AE217" s="432"/>
      <c r="AF217" s="432"/>
      <c r="AG217" s="129"/>
      <c r="AH217" s="129"/>
      <c r="AI217" s="129"/>
      <c r="AJ217" s="129"/>
      <c r="AK217" s="129"/>
      <c r="AL217" s="129"/>
      <c r="AM217" s="129"/>
      <c r="AN217" s="129"/>
      <c r="AO217" s="129"/>
      <c r="AP217" s="129"/>
      <c r="AQ217" s="129"/>
      <c r="AR217" s="129"/>
      <c r="AS217" s="129"/>
      <c r="AT217" s="129"/>
      <c r="AU217" s="129"/>
      <c r="AV217" s="129"/>
      <c r="AW217" s="129"/>
    </row>
    <row r="218" spans="1:49" ht="20.100000000000001" customHeight="1">
      <c r="A218" s="129"/>
      <c r="B218" s="129"/>
      <c r="C218" s="253"/>
      <c r="D218" s="262" t="s">
        <v>1920</v>
      </c>
      <c r="E218" s="254"/>
      <c r="F218" s="322"/>
      <c r="G218" s="276"/>
      <c r="H218" s="276"/>
      <c r="I218" s="276"/>
      <c r="J218" s="276"/>
      <c r="K218" s="276"/>
      <c r="L218" s="276"/>
      <c r="M218" s="276"/>
      <c r="N218" s="276"/>
      <c r="O218" s="255"/>
      <c r="P218" s="432"/>
      <c r="Q218" s="129"/>
      <c r="R218" s="253"/>
      <c r="S218" s="262" t="s">
        <v>1920</v>
      </c>
      <c r="T218" s="254"/>
      <c r="U218" s="322"/>
      <c r="V218" s="276"/>
      <c r="W218" s="276"/>
      <c r="X218" s="276"/>
      <c r="Y218" s="276"/>
      <c r="Z218" s="276"/>
      <c r="AA218" s="276"/>
      <c r="AB218" s="276"/>
      <c r="AC218" s="276"/>
      <c r="AD218" s="255"/>
      <c r="AE218" s="432"/>
      <c r="AF218" s="436"/>
      <c r="AG218" s="135"/>
      <c r="AH218" s="129"/>
      <c r="AI218" s="129"/>
      <c r="AJ218" s="129"/>
      <c r="AK218" s="129"/>
      <c r="AL218" s="129"/>
      <c r="AM218" s="129"/>
      <c r="AN218" s="129"/>
      <c r="AO218" s="129"/>
      <c r="AP218" s="129"/>
      <c r="AQ218" s="129"/>
      <c r="AR218" s="129"/>
      <c r="AS218" s="129"/>
      <c r="AT218" s="129"/>
      <c r="AU218" s="129"/>
      <c r="AV218" s="129"/>
      <c r="AW218" s="129"/>
    </row>
    <row r="219" spans="1:49" ht="15.75" customHeight="1">
      <c r="B219" s="129"/>
      <c r="C219" s="216"/>
      <c r="D219" s="289" t="s">
        <v>1337</v>
      </c>
      <c r="E219" s="290" t="s">
        <v>1339</v>
      </c>
      <c r="F219" s="290" t="s">
        <v>1336</v>
      </c>
      <c r="G219" s="337"/>
      <c r="H219" s="291" t="s">
        <v>1361</v>
      </c>
      <c r="I219" s="290" t="s">
        <v>1341</v>
      </c>
      <c r="J219" s="868" t="s">
        <v>1361</v>
      </c>
      <c r="K219" s="1186" t="s">
        <v>1336</v>
      </c>
      <c r="L219" s="1155"/>
      <c r="M219" s="1188" t="s">
        <v>2354</v>
      </c>
      <c r="N219" s="290" t="s">
        <v>1336</v>
      </c>
      <c r="O219" s="341"/>
      <c r="P219" s="432"/>
      <c r="Q219" s="129"/>
      <c r="R219" s="216"/>
      <c r="S219" s="289" t="s">
        <v>1337</v>
      </c>
      <c r="T219" s="290" t="s">
        <v>1339</v>
      </c>
      <c r="U219" s="290" t="s">
        <v>1336</v>
      </c>
      <c r="V219" s="337"/>
      <c r="W219" s="291" t="s">
        <v>1361</v>
      </c>
      <c r="X219" s="290" t="s">
        <v>1341</v>
      </c>
      <c r="Y219" s="868" t="s">
        <v>1361</v>
      </c>
      <c r="Z219" s="1186" t="s">
        <v>1336</v>
      </c>
      <c r="AA219" s="1155"/>
      <c r="AB219" s="1186" t="s">
        <v>1336</v>
      </c>
      <c r="AC219" s="290" t="s">
        <v>1336</v>
      </c>
      <c r="AD219" s="341"/>
      <c r="AE219" s="432"/>
      <c r="AF219" s="432"/>
      <c r="AG219" s="129"/>
      <c r="AH219" s="129"/>
      <c r="AI219" s="129"/>
      <c r="AJ219" s="129"/>
      <c r="AK219" s="129"/>
      <c r="AL219" s="129"/>
      <c r="AM219" s="129"/>
      <c r="AN219" s="129"/>
      <c r="AO219" s="129"/>
      <c r="AP219" s="129"/>
      <c r="AQ219" s="129"/>
      <c r="AR219" s="129"/>
      <c r="AS219" s="129"/>
      <c r="AT219" s="129"/>
      <c r="AU219" s="129"/>
      <c r="AV219" s="129"/>
      <c r="AW219" s="129"/>
    </row>
    <row r="220" spans="1:49" ht="15.75" customHeight="1">
      <c r="B220" s="129"/>
      <c r="C220" s="220"/>
      <c r="D220" s="292" t="s">
        <v>1338</v>
      </c>
      <c r="E220" s="293" t="s">
        <v>1340</v>
      </c>
      <c r="F220" s="293" t="s">
        <v>2910</v>
      </c>
      <c r="G220" s="339" t="s">
        <v>1354</v>
      </c>
      <c r="H220" s="293" t="s">
        <v>1342</v>
      </c>
      <c r="I220" s="293" t="s">
        <v>1343</v>
      </c>
      <c r="J220" s="866" t="s">
        <v>1344</v>
      </c>
      <c r="K220" s="1187" t="s">
        <v>1345</v>
      </c>
      <c r="L220" s="1156"/>
      <c r="M220" s="1189" t="s">
        <v>2057</v>
      </c>
      <c r="N220" s="293" t="s">
        <v>1344</v>
      </c>
      <c r="O220" s="342"/>
      <c r="P220" s="432"/>
      <c r="Q220" s="129"/>
      <c r="R220" s="220"/>
      <c r="S220" s="292" t="s">
        <v>1338</v>
      </c>
      <c r="T220" s="293" t="s">
        <v>1340</v>
      </c>
      <c r="U220" s="293" t="s">
        <v>2910</v>
      </c>
      <c r="V220" s="339" t="s">
        <v>1354</v>
      </c>
      <c r="W220" s="293" t="s">
        <v>1342</v>
      </c>
      <c r="X220" s="293" t="s">
        <v>1343</v>
      </c>
      <c r="Y220" s="866" t="s">
        <v>1344</v>
      </c>
      <c r="Z220" s="1187" t="s">
        <v>1345</v>
      </c>
      <c r="AA220" s="1156"/>
      <c r="AB220" s="1187" t="s">
        <v>2057</v>
      </c>
      <c r="AC220" s="293" t="s">
        <v>2178</v>
      </c>
      <c r="AD220" s="342"/>
      <c r="AE220" s="432"/>
      <c r="AF220" s="432"/>
      <c r="AG220" s="129"/>
      <c r="AH220" s="129"/>
      <c r="AI220" s="129"/>
      <c r="AJ220" s="129"/>
      <c r="AK220" s="129"/>
      <c r="AL220" s="129"/>
      <c r="AM220" s="129"/>
      <c r="AN220" s="129"/>
      <c r="AO220" s="129"/>
      <c r="AP220" s="129"/>
      <c r="AQ220" s="129"/>
      <c r="AR220" s="129"/>
      <c r="AS220" s="129"/>
      <c r="AT220" s="129"/>
      <c r="AU220" s="129"/>
      <c r="AV220" s="129"/>
      <c r="AW220" s="129"/>
    </row>
    <row r="221" spans="1:49" ht="15.75" customHeight="1">
      <c r="B221" s="129"/>
      <c r="C221" s="220"/>
      <c r="D221" s="75"/>
      <c r="E221" s="140"/>
      <c r="F221" s="140"/>
      <c r="G221" s="283" t="str">
        <f>IFERROR('Group R'!H920,IFERROR(VLOOKUP($E221,Table_CustomBelowGradeSlab,2,FALSE),""))</f>
        <v/>
      </c>
      <c r="H221" s="911" t="str">
        <f>IFERROR('Group R'!I920,IFERROR(VLOOKUP($E221,Table_CustomBelowGradeSlab,5,FALSE),""))</f>
        <v/>
      </c>
      <c r="I221" s="79"/>
      <c r="J221" s="867" t="str">
        <f>IFERROR(H221*I221,"")</f>
        <v/>
      </c>
      <c r="K221" s="1184" t="str">
        <f>IFERROR(J920,IFERROR(VLOOKUP($E221,Table_CustomBelowGradeSlab,6,FALSE),""))</f>
        <v/>
      </c>
      <c r="L221" s="1185"/>
      <c r="M221" s="79"/>
      <c r="N221" s="284" t="str">
        <f>IFERROR(K221*M221,"")</f>
        <v/>
      </c>
      <c r="O221" s="437">
        <f>IF(AND(TRIM(E221)&lt;&gt;"",OR(TRIM(I221)="",TRIM(M221)="")),1,IF(AND(TRIM(E221)="",TRIM(I221)="",TRIM(M221)=""),0,IF(AND(G221="Custom",H221=0),1,IF(AND(H221&lt;&gt;"",N221=0),1,IF(AND(H221="",M221&gt;0),1,0)))))</f>
        <v>0</v>
      </c>
      <c r="P221" s="427" t="str">
        <f>IF(G221="Custom",IF(H221=0,"U-value missing in Custom Input","Refer to WSEC R402.1.5 U-factor Reference and Calculations"),"")</f>
        <v/>
      </c>
      <c r="Q221" s="129"/>
      <c r="R221" s="333" t="s">
        <v>1350</v>
      </c>
      <c r="S221" s="75"/>
      <c r="T221" s="140"/>
      <c r="U221" s="140"/>
      <c r="V221" s="283" t="str">
        <f>IFERROR('Group R'!H927,IFERROR(VLOOKUP($E221,Table_CustomBelowGradeSlab,2,FALSE),""))</f>
        <v/>
      </c>
      <c r="W221" s="911" t="str">
        <f>IFERROR('Group R'!I927,IFERROR(VLOOKUP($E221,Table_CustomBelowGradeSlab,5,FALSE),""))</f>
        <v/>
      </c>
      <c r="X221" s="74"/>
      <c r="Y221" s="867" t="str">
        <f>IFERROR(W221*X221,"")</f>
        <v/>
      </c>
      <c r="Z221" s="1184" t="str">
        <f>IFERROR('Group R'!J927,IFERROR(VLOOKUP($E221,Table_CustomBelowGradeSlab,6,FALSE),""))</f>
        <v/>
      </c>
      <c r="AA221" s="1185"/>
      <c r="AB221" s="79"/>
      <c r="AC221" s="284" t="str">
        <f>IFERROR(Z221*AB221,"")</f>
        <v/>
      </c>
      <c r="AD221" s="437">
        <f>IF(AND(T221&lt;&gt;"",W221=""),1,IF(AND(T221="",W221="",AB221=""),0,IF(AND(V221="Custom",W221=0),1,IF(AND(W221&lt;&gt;"",AC221=0),1,IF(AND(W221="",AB221&gt;0),1,0)))))</f>
        <v>0</v>
      </c>
      <c r="AE221" s="427" t="str">
        <f>IF(V221="Custom","Refer to WSEC R402.1.5 U-factor Reference and Calculations","")</f>
        <v/>
      </c>
      <c r="AF221" s="432"/>
      <c r="AG221" s="129"/>
      <c r="AH221" s="129"/>
      <c r="AI221" s="129"/>
      <c r="AJ221" s="129"/>
      <c r="AK221" s="129"/>
      <c r="AL221" s="129"/>
      <c r="AM221" s="129"/>
      <c r="AN221" s="129"/>
      <c r="AO221" s="129"/>
      <c r="AP221" s="129"/>
      <c r="AQ221" s="129"/>
      <c r="AR221" s="129"/>
      <c r="AS221" s="129"/>
      <c r="AT221" s="129"/>
      <c r="AU221" s="129"/>
      <c r="AV221" s="129"/>
      <c r="AW221" s="129"/>
    </row>
    <row r="222" spans="1:49" ht="15.75" customHeight="1">
      <c r="B222" s="129"/>
      <c r="C222" s="220"/>
      <c r="D222" s="75"/>
      <c r="E222" s="140"/>
      <c r="F222" s="140"/>
      <c r="G222" s="283" t="str">
        <f>IFERROR('Group R'!H921,IFERROR(VLOOKUP($E222,Table_CustomBelowGradeSlab,2,FALSE),""))</f>
        <v/>
      </c>
      <c r="H222" s="911" t="str">
        <f>IFERROR('Group R'!I921,IFERROR(VLOOKUP($E222,Table_CustomBelowGradeSlab,5,FALSE),""))</f>
        <v/>
      </c>
      <c r="I222" s="74"/>
      <c r="J222" s="867" t="str">
        <f>IFERROR(H222*I222,"")</f>
        <v/>
      </c>
      <c r="K222" s="1184" t="str">
        <f>IFERROR('Group R'!J921,IFERROR(VLOOKUP($E222,Table_CustomBelowGradeSlab,6,FALSE),""))</f>
        <v/>
      </c>
      <c r="L222" s="1185"/>
      <c r="M222" s="74"/>
      <c r="N222" s="284" t="str">
        <f>IFERROR(K222*M222,"")</f>
        <v/>
      </c>
      <c r="O222" s="437">
        <f t="shared" ref="O222:O224" si="72">IF(AND(TRIM(E222)&lt;&gt;"",OR(TRIM(I222)="",TRIM(M222)="")),1,IF(AND(TRIM(E222)="",TRIM(I222)="",TRIM(M222)=""),0,IF(AND(G222="Custom",H222=0),1,IF(AND(H222&lt;&gt;"",N222=0),1,IF(AND(H222="",M222&gt;0),1,0)))))</f>
        <v>0</v>
      </c>
      <c r="P222" s="427" t="str">
        <f>IF(G222="Custom",IF(H222=0,"U-value missing in Custom Input","Refer to WSEC R402.1.5 U-factor Reference and Calculations"),"")</f>
        <v/>
      </c>
      <c r="Q222" s="129"/>
      <c r="R222" s="333" t="s">
        <v>1350</v>
      </c>
      <c r="S222" s="75"/>
      <c r="T222" s="140"/>
      <c r="U222" s="140"/>
      <c r="V222" s="283" t="str">
        <f>IFERROR('Group R'!H928,IFERROR(VLOOKUP($E222,Table_CustomBelowGradeSlab,2,FALSE),""))</f>
        <v/>
      </c>
      <c r="W222" s="911" t="str">
        <f>IFERROR('Group R'!I928,IFERROR(VLOOKUP($E222,Table_CustomBelowGradeSlab,5,FALSE),""))</f>
        <v/>
      </c>
      <c r="X222" s="74"/>
      <c r="Y222" s="867" t="str">
        <f t="shared" ref="Y222:Y224" si="73">IFERROR(W222*X222,"")</f>
        <v/>
      </c>
      <c r="Z222" s="1184" t="str">
        <f>IFERROR('Group R'!J928,IFERROR(VLOOKUP($E222,Table_CustomBelowGradeSlab,6,FALSE),""))</f>
        <v/>
      </c>
      <c r="AA222" s="1185"/>
      <c r="AB222" s="74"/>
      <c r="AC222" s="284" t="str">
        <f>IFERROR(Z222*AB222,"")</f>
        <v/>
      </c>
      <c r="AD222" s="437">
        <f>IF(AND(T222&lt;&gt;"",W222=""),1,IF(AND(T222="",W222="",AB222=""),0,IF(AND(V222="Custom",W222=0),1,IF(AND(W222&lt;&gt;"",AC222=0),1,IF(AND(W222="",AB222&gt;0),1,0)))))</f>
        <v>0</v>
      </c>
      <c r="AE222" s="427" t="str">
        <f>IF(V222="Custom","Refer to WSEC R402.1.5 U-factor Reference and Calculations","")</f>
        <v/>
      </c>
      <c r="AF222" s="432"/>
      <c r="AG222" s="129"/>
      <c r="AH222" s="129"/>
      <c r="AI222" s="129"/>
      <c r="AJ222" s="129"/>
      <c r="AK222" s="129"/>
      <c r="AL222" s="129"/>
      <c r="AM222" s="129"/>
      <c r="AN222" s="129"/>
      <c r="AO222" s="129"/>
      <c r="AP222" s="129"/>
      <c r="AQ222" s="129"/>
      <c r="AR222" s="129"/>
      <c r="AS222" s="129"/>
      <c r="AT222" s="129"/>
      <c r="AU222" s="129"/>
      <c r="AV222" s="129"/>
      <c r="AW222" s="129"/>
    </row>
    <row r="223" spans="1:49" ht="15.75" customHeight="1">
      <c r="B223" s="129"/>
      <c r="C223" s="220"/>
      <c r="D223" s="75"/>
      <c r="E223" s="140"/>
      <c r="F223" s="140"/>
      <c r="G223" s="283" t="str">
        <f>IFERROR('Group R'!H922,IFERROR(VLOOKUP($E223,Table_CustomBelowGradeSlab,2,FALSE),""))</f>
        <v/>
      </c>
      <c r="H223" s="911" t="str">
        <f>IFERROR('Group R'!I922,IFERROR(VLOOKUP($E223,Table_CustomBelowGradeSlab,5,FALSE),""))</f>
        <v/>
      </c>
      <c r="I223" s="74"/>
      <c r="J223" s="867" t="str">
        <f>IFERROR(H223*I223,"")</f>
        <v/>
      </c>
      <c r="K223" s="1184" t="str">
        <f>IFERROR('Group R'!J922,IFERROR(VLOOKUP($E223,Table_CustomBelowGradeSlab,6,FALSE),""))</f>
        <v/>
      </c>
      <c r="L223" s="1185"/>
      <c r="M223" s="74"/>
      <c r="N223" s="284" t="str">
        <f>IFERROR(K223*M223,"")</f>
        <v/>
      </c>
      <c r="O223" s="437">
        <f t="shared" si="72"/>
        <v>0</v>
      </c>
      <c r="P223" s="427" t="str">
        <f>IF(G223="Custom",IF(H223=0,"U-value missing in Custom Input","Refer to WSEC R402.1.5 U-factor Reference and Calculations"),"")</f>
        <v/>
      </c>
      <c r="Q223" s="129"/>
      <c r="R223" s="333" t="s">
        <v>1350</v>
      </c>
      <c r="S223" s="75"/>
      <c r="T223" s="140"/>
      <c r="U223" s="140"/>
      <c r="V223" s="283" t="str">
        <f>IFERROR('Group R'!H929,IFERROR(VLOOKUP($E223,Table_CustomBelowGradeSlab,2,FALSE),""))</f>
        <v/>
      </c>
      <c r="W223" s="911" t="str">
        <f>IFERROR('Group R'!I929,IFERROR(VLOOKUP($E223,Table_CustomBelowGradeSlab,5,FALSE),""))</f>
        <v/>
      </c>
      <c r="X223" s="74"/>
      <c r="Y223" s="867" t="str">
        <f t="shared" si="73"/>
        <v/>
      </c>
      <c r="Z223" s="1184" t="str">
        <f>IFERROR('Group R'!J929,IFERROR(VLOOKUP($E223,Table_CustomBelowGradeSlab,6,FALSE),""))</f>
        <v/>
      </c>
      <c r="AA223" s="1185"/>
      <c r="AB223" s="79"/>
      <c r="AC223" s="284" t="str">
        <f>IFERROR(Z223*AB223,"")</f>
        <v/>
      </c>
      <c r="AD223" s="437">
        <f>IF(AND(T223&lt;&gt;"",W223=""),1,IF(AND(T223="",W223="",AB223=""),0,IF(AND(V223="Custom",W223=0),1,IF(AND(W223&lt;&gt;"",AC223=0),1,IF(AND(W223="",AB223&gt;0),1,0)))))</f>
        <v>0</v>
      </c>
      <c r="AE223" s="427" t="str">
        <f>IF(V223="Custom","Refer to WSEC R402.1.5 U-factor Reference and Calculations","")</f>
        <v/>
      </c>
      <c r="AF223" s="432"/>
      <c r="AG223" s="129"/>
      <c r="AH223" s="129"/>
      <c r="AI223" s="129"/>
      <c r="AJ223" s="129"/>
      <c r="AK223" s="129"/>
      <c r="AL223" s="129"/>
      <c r="AM223" s="129"/>
      <c r="AN223" s="129"/>
      <c r="AO223" s="129"/>
      <c r="AP223" s="129"/>
      <c r="AQ223" s="129"/>
      <c r="AR223" s="129"/>
      <c r="AS223" s="129"/>
      <c r="AT223" s="129"/>
      <c r="AU223" s="129"/>
      <c r="AV223" s="129"/>
      <c r="AW223" s="129"/>
    </row>
    <row r="224" spans="1:49" ht="15.75" customHeight="1">
      <c r="B224" s="129"/>
      <c r="C224" s="220"/>
      <c r="D224" s="75"/>
      <c r="E224" s="140"/>
      <c r="F224" s="140"/>
      <c r="G224" s="283" t="str">
        <f>IFERROR('Group R'!H923,IFERROR(VLOOKUP($E224,Table_CustomBelowGradeSlab,2,FALSE),""))</f>
        <v/>
      </c>
      <c r="H224" s="911" t="str">
        <f>IFERROR('Group R'!I923,IFERROR(VLOOKUP($E224,Table_CustomBelowGradeSlab,5,FALSE),""))</f>
        <v/>
      </c>
      <c r="I224" s="74"/>
      <c r="J224" s="867" t="str">
        <f>IFERROR(H224*I224,"")</f>
        <v/>
      </c>
      <c r="K224" s="1184" t="str">
        <f>IFERROR('Group R'!J923,IFERROR(VLOOKUP($E224,Table_CustomBelowGradeSlab,6,FALSE),""))</f>
        <v/>
      </c>
      <c r="L224" s="1185"/>
      <c r="M224" s="79"/>
      <c r="N224" s="284" t="str">
        <f>IFERROR(K224*M224,"")</f>
        <v/>
      </c>
      <c r="O224" s="437">
        <f t="shared" si="72"/>
        <v>0</v>
      </c>
      <c r="P224" s="427" t="str">
        <f>IF(G224="Custom",IF(H224=0,"U-value missing in Custom Input","Refer to WSEC R402.1.5 U-factor Reference and Calculations"),"")</f>
        <v/>
      </c>
      <c r="Q224" s="129"/>
      <c r="R224" s="333" t="s">
        <v>1350</v>
      </c>
      <c r="S224" s="75"/>
      <c r="T224" s="140"/>
      <c r="U224" s="140"/>
      <c r="V224" s="283" t="str">
        <f>IFERROR('Group R'!H930,IFERROR(VLOOKUP($E224,Table_CustomBelowGradeSlab,2,FALSE),""))</f>
        <v/>
      </c>
      <c r="W224" s="911" t="str">
        <f>IFERROR('Group R'!I930,IFERROR(VLOOKUP($E224,Table_CustomBelowGradeSlab,5,FALSE),""))</f>
        <v/>
      </c>
      <c r="X224" s="74"/>
      <c r="Y224" s="867" t="str">
        <f t="shared" si="73"/>
        <v/>
      </c>
      <c r="Z224" s="1184" t="str">
        <f>IFERROR('Group R'!J930,IFERROR(VLOOKUP($E224,Table_CustomBelowGradeSlab,6,FALSE),""))</f>
        <v/>
      </c>
      <c r="AA224" s="1185"/>
      <c r="AB224" s="74"/>
      <c r="AC224" s="284" t="str">
        <f>IFERROR(Z224*AB224,"")</f>
        <v/>
      </c>
      <c r="AD224" s="437">
        <f>IF(AND(T224&lt;&gt;"",W224=""),1,IF(AND(T224="",W224="",AB224=""),0,IF(AND(V224="Custom",W224=0),1,IF(AND(W224&lt;&gt;"",AC224=0),1,IF(AND(W224="",AB224&gt;0),1,0)))))</f>
        <v>0</v>
      </c>
      <c r="AE224" s="427" t="str">
        <f>IF(V224="Custom","Refer to WSEC R402.1.5 U-factor Reference and Calculations","")</f>
        <v/>
      </c>
      <c r="AF224" s="432"/>
      <c r="AG224" s="129"/>
      <c r="AH224" s="129"/>
      <c r="AI224" s="129"/>
      <c r="AJ224" s="129"/>
      <c r="AK224" s="129"/>
      <c r="AL224" s="129"/>
      <c r="AM224" s="129"/>
      <c r="AN224" s="129"/>
      <c r="AO224" s="129"/>
      <c r="AP224" s="129"/>
      <c r="AQ224" s="129"/>
      <c r="AR224" s="129"/>
      <c r="AS224" s="129"/>
      <c r="AT224" s="129"/>
      <c r="AU224" s="129"/>
      <c r="AV224" s="129"/>
      <c r="AW224" s="129"/>
    </row>
    <row r="225" spans="1:49" ht="15.75" customHeight="1">
      <c r="A225" s="129"/>
      <c r="B225" s="129"/>
      <c r="C225" s="220"/>
      <c r="D225" s="225"/>
      <c r="E225" s="225"/>
      <c r="F225" s="270"/>
      <c r="G225" s="249"/>
      <c r="H225" s="249" t="s">
        <v>1364</v>
      </c>
      <c r="I225" s="316">
        <f>IF(O225&gt;0,"",SUM(I221:I224))</f>
        <v>0</v>
      </c>
      <c r="J225" s="316">
        <f>IF(O225&gt;0,"Error",SUM(J221:J224))</f>
        <v>0</v>
      </c>
      <c r="K225" s="249"/>
      <c r="L225" s="249"/>
      <c r="M225" s="316">
        <f>IF($O225&gt;0,"",SUM(M221:M224))</f>
        <v>0</v>
      </c>
      <c r="N225" s="316">
        <f>IF($O225&gt;0,"Error",SUM(N221:N224))</f>
        <v>0</v>
      </c>
      <c r="O225" s="297">
        <f>SUM(O221:O224)</f>
        <v>0</v>
      </c>
      <c r="P225" s="434">
        <f>ROW(P224)-ROW(P221)+1-COUNTBLANK(P221:P224)</f>
        <v>0</v>
      </c>
      <c r="Q225" s="129"/>
      <c r="R225" s="220"/>
      <c r="S225" s="225"/>
      <c r="T225" s="225"/>
      <c r="U225" s="270"/>
      <c r="V225" s="249"/>
      <c r="W225" s="249" t="s">
        <v>1364</v>
      </c>
      <c r="X225" s="343">
        <f>IF(AD225&gt;0,"",SUM(X221:X224))</f>
        <v>0</v>
      </c>
      <c r="Y225" s="869">
        <f>IF(AD225&gt;0,"Error",SUM(Y221:Y224))</f>
        <v>0</v>
      </c>
      <c r="Z225" s="249"/>
      <c r="AA225" s="249"/>
      <c r="AB225" s="316">
        <f>IF($O225&gt;0,"",SUM(AB221:AB224))</f>
        <v>0</v>
      </c>
      <c r="AC225" s="316">
        <f>IF($O225&gt;0,"Error",SUM(AC221:AC224))</f>
        <v>0</v>
      </c>
      <c r="AD225" s="297">
        <f>SUM(AD221:AD224)</f>
        <v>0</v>
      </c>
      <c r="AE225" s="434">
        <f>ROW(AE224)-ROW(AE221)+1-COUNTBLANK(AE221:AE224)</f>
        <v>0</v>
      </c>
      <c r="AF225" s="432"/>
      <c r="AG225" s="129"/>
      <c r="AH225" s="129"/>
      <c r="AI225" s="129"/>
      <c r="AJ225" s="129"/>
      <c r="AK225" s="129"/>
      <c r="AL225" s="129"/>
      <c r="AM225" s="129"/>
      <c r="AN225" s="129"/>
      <c r="AO225" s="129"/>
      <c r="AP225" s="129"/>
      <c r="AQ225" s="129"/>
      <c r="AR225" s="129"/>
      <c r="AS225" s="129"/>
      <c r="AT225" s="129"/>
      <c r="AU225" s="129"/>
      <c r="AV225" s="129"/>
      <c r="AW225" s="129"/>
    </row>
    <row r="226" spans="1:49" ht="15.75" customHeight="1">
      <c r="A226" s="129"/>
      <c r="B226" s="129"/>
      <c r="C226" s="220"/>
      <c r="D226" s="225"/>
      <c r="E226" s="225"/>
      <c r="F226" s="270"/>
      <c r="G226" s="249"/>
      <c r="H226" s="249" t="s">
        <v>3209</v>
      </c>
      <c r="I226" s="249"/>
      <c r="J226" s="296" t="str">
        <f>IFERROR(J225/I225,"")</f>
        <v/>
      </c>
      <c r="K226" s="249"/>
      <c r="L226" s="249"/>
      <c r="M226" s="249"/>
      <c r="N226" s="296" t="str">
        <f>IFERROR(N225/M225,"")</f>
        <v/>
      </c>
      <c r="O226" s="297"/>
      <c r="P226" s="434"/>
      <c r="Q226" s="129"/>
      <c r="R226" s="220"/>
      <c r="S226" s="225"/>
      <c r="T226" s="225"/>
      <c r="U226" s="270"/>
      <c r="V226" s="249"/>
      <c r="W226" s="249" t="s">
        <v>3209</v>
      </c>
      <c r="X226" s="249"/>
      <c r="Y226" s="296" t="str">
        <f>IFERROR(Y225/X225,"")</f>
        <v/>
      </c>
      <c r="Z226" s="249"/>
      <c r="AA226" s="249"/>
      <c r="AB226" s="249"/>
      <c r="AC226" s="296" t="str">
        <f>IFERROR(AC225/AB225,"")</f>
        <v/>
      </c>
      <c r="AD226" s="297"/>
      <c r="AE226" s="434"/>
      <c r="AF226" s="432"/>
      <c r="AG226" s="129"/>
      <c r="AH226" s="129"/>
      <c r="AI226" s="129"/>
      <c r="AJ226" s="129"/>
      <c r="AK226" s="129"/>
      <c r="AL226" s="129"/>
      <c r="AM226" s="129"/>
      <c r="AN226" s="129"/>
      <c r="AO226" s="129"/>
      <c r="AP226" s="129"/>
      <c r="AQ226" s="129"/>
      <c r="AR226" s="129"/>
      <c r="AS226" s="129"/>
      <c r="AT226" s="129"/>
      <c r="AU226" s="129"/>
      <c r="AV226" s="129"/>
      <c r="AW226" s="129"/>
    </row>
    <row r="227" spans="1:49" ht="15.75" customHeight="1">
      <c r="A227" s="129"/>
      <c r="B227" s="129"/>
      <c r="C227" s="266"/>
      <c r="D227" s="137"/>
      <c r="E227" s="137"/>
      <c r="F227" s="272"/>
      <c r="G227" s="137"/>
      <c r="H227" s="137"/>
      <c r="I227" s="137"/>
      <c r="J227" s="137"/>
      <c r="K227" s="137"/>
      <c r="L227" s="137"/>
      <c r="M227" s="137"/>
      <c r="N227" s="137"/>
      <c r="O227" s="237"/>
      <c r="P227" s="432"/>
      <c r="Q227" s="129"/>
      <c r="R227" s="266"/>
      <c r="S227" s="137"/>
      <c r="T227" s="137"/>
      <c r="U227" s="272"/>
      <c r="V227" s="137"/>
      <c r="W227" s="137"/>
      <c r="X227" s="137"/>
      <c r="Y227" s="137"/>
      <c r="Z227" s="137"/>
      <c r="AA227" s="137"/>
      <c r="AB227" s="137"/>
      <c r="AC227" s="137"/>
      <c r="AD227" s="237"/>
      <c r="AE227" s="432"/>
      <c r="AF227" s="432"/>
      <c r="AG227" s="129"/>
      <c r="AH227" s="129"/>
      <c r="AI227" s="129"/>
      <c r="AJ227" s="129"/>
      <c r="AK227" s="129"/>
      <c r="AL227" s="129"/>
      <c r="AM227" s="129"/>
      <c r="AN227" s="129"/>
      <c r="AO227" s="129"/>
      <c r="AP227" s="129"/>
      <c r="AQ227" s="129"/>
      <c r="AR227" s="129"/>
      <c r="AS227" s="129"/>
      <c r="AT227" s="129"/>
      <c r="AU227" s="129"/>
      <c r="AV227" s="129"/>
      <c r="AW227" s="129"/>
    </row>
    <row r="228" spans="1:49" ht="15.75" customHeight="1">
      <c r="A228" s="129"/>
      <c r="B228" s="129"/>
      <c r="C228" s="129"/>
      <c r="D228" s="129"/>
      <c r="E228" s="129"/>
      <c r="F228" s="142"/>
      <c r="G228" s="129"/>
      <c r="H228" s="129"/>
      <c r="I228" s="129"/>
      <c r="J228" s="129"/>
      <c r="K228" s="129"/>
      <c r="L228" s="129"/>
      <c r="M228" s="129"/>
      <c r="N228" s="129"/>
      <c r="O228" s="129"/>
      <c r="P228" s="432"/>
      <c r="Q228" s="129"/>
      <c r="R228" s="129"/>
      <c r="S228" s="129"/>
      <c r="T228" s="129"/>
      <c r="U228" s="129"/>
      <c r="V228" s="129"/>
      <c r="W228" s="129"/>
      <c r="X228" s="129"/>
      <c r="Y228" s="129"/>
      <c r="Z228" s="129"/>
      <c r="AA228" s="129"/>
      <c r="AB228" s="129"/>
      <c r="AC228" s="129"/>
      <c r="AD228" s="129"/>
      <c r="AE228" s="129"/>
      <c r="AF228" s="129"/>
      <c r="AG228" s="129"/>
      <c r="AH228" s="129"/>
      <c r="AI228" s="129"/>
      <c r="AJ228" s="129"/>
      <c r="AK228" s="129"/>
      <c r="AL228" s="129"/>
      <c r="AM228" s="129"/>
      <c r="AN228" s="129"/>
      <c r="AO228" s="129"/>
      <c r="AP228" s="129"/>
      <c r="AQ228" s="129"/>
      <c r="AR228" s="129"/>
      <c r="AS228" s="129"/>
      <c r="AT228" s="129"/>
      <c r="AU228" s="129"/>
      <c r="AV228" s="129"/>
      <c r="AW228" s="129"/>
    </row>
    <row r="229" spans="1:49" ht="15.75" customHeight="1">
      <c r="A229" s="129"/>
      <c r="B229" s="129"/>
      <c r="C229" s="253"/>
      <c r="D229" s="304" t="s">
        <v>2743</v>
      </c>
      <c r="E229" s="254"/>
      <c r="F229" s="254"/>
      <c r="G229" s="1149" t="s">
        <v>2742</v>
      </c>
      <c r="H229" s="1149"/>
      <c r="I229" s="277"/>
      <c r="J229" s="1139"/>
      <c r="K229" s="1139"/>
      <c r="L229" s="1139"/>
      <c r="M229" s="1139"/>
      <c r="N229" s="1139"/>
      <c r="O229" s="1139"/>
      <c r="P229" s="1140"/>
      <c r="Q229" s="129"/>
      <c r="R229" s="129"/>
      <c r="S229" s="129"/>
      <c r="T229" s="129"/>
      <c r="U229" s="129"/>
      <c r="V229" s="129"/>
      <c r="W229" s="129"/>
      <c r="X229" s="129"/>
      <c r="Y229" s="129"/>
      <c r="Z229" s="129"/>
      <c r="AA229" s="129"/>
      <c r="AB229" s="129"/>
      <c r="AC229" s="129"/>
      <c r="AD229" s="129"/>
      <c r="AE229" s="129"/>
      <c r="AF229" s="129"/>
      <c r="AG229" s="129"/>
      <c r="AH229" s="129"/>
      <c r="AI229" s="129"/>
      <c r="AJ229" s="129"/>
      <c r="AK229" s="129"/>
      <c r="AL229" s="129"/>
      <c r="AM229" s="129"/>
      <c r="AN229" s="129"/>
      <c r="AO229" s="129"/>
      <c r="AP229" s="129"/>
      <c r="AQ229" s="129"/>
      <c r="AR229" s="129"/>
      <c r="AS229" s="129"/>
      <c r="AT229" s="129"/>
      <c r="AU229" s="129"/>
      <c r="AV229" s="129"/>
      <c r="AW229" s="129"/>
    </row>
    <row r="230" spans="1:49" ht="15.75" customHeight="1">
      <c r="A230" s="129"/>
      <c r="B230" s="129"/>
      <c r="C230" s="129"/>
      <c r="D230" s="216"/>
      <c r="E230" s="701" t="s">
        <v>2739</v>
      </c>
      <c r="F230" s="701"/>
      <c r="G230" s="1198" t="s">
        <v>2739</v>
      </c>
      <c r="H230" s="1198"/>
      <c r="I230" s="1051" t="s">
        <v>2741</v>
      </c>
      <c r="J230" s="701"/>
      <c r="K230" s="701"/>
      <c r="L230" s="701"/>
      <c r="M230" s="701"/>
      <c r="N230" s="701"/>
      <c r="O230" s="701"/>
      <c r="P230" s="740"/>
      <c r="Q230" s="129"/>
      <c r="R230" s="129"/>
      <c r="S230" s="129"/>
      <c r="T230" s="129"/>
      <c r="U230" s="129"/>
      <c r="V230" s="129"/>
      <c r="W230" s="129"/>
      <c r="X230" s="129"/>
      <c r="Y230" s="129"/>
      <c r="Z230" s="129"/>
      <c r="AA230" s="129"/>
      <c r="AB230" s="129"/>
      <c r="AC230" s="129"/>
      <c r="AD230" s="129"/>
      <c r="AE230" s="129"/>
      <c r="AF230" s="129"/>
      <c r="AG230" s="129"/>
      <c r="AH230" s="129"/>
      <c r="AI230" s="129"/>
      <c r="AJ230" s="129"/>
      <c r="AK230" s="129"/>
      <c r="AL230" s="129"/>
      <c r="AM230" s="129"/>
      <c r="AN230" s="129"/>
      <c r="AO230" s="129"/>
      <c r="AP230" s="129"/>
      <c r="AQ230" s="129"/>
      <c r="AR230" s="129"/>
      <c r="AS230" s="129"/>
      <c r="AT230" s="129"/>
      <c r="AU230" s="129"/>
      <c r="AV230" s="129"/>
      <c r="AW230" s="129"/>
    </row>
    <row r="231" spans="1:49" ht="15.75" customHeight="1">
      <c r="A231" s="129"/>
      <c r="B231" s="129"/>
      <c r="C231" s="129"/>
      <c r="D231" s="220"/>
      <c r="E231" s="349" t="s">
        <v>2740</v>
      </c>
      <c r="F231" s="349"/>
      <c r="G231" s="1150" t="s">
        <v>2745</v>
      </c>
      <c r="H231" s="1150"/>
      <c r="I231" s="349"/>
      <c r="J231" s="349"/>
      <c r="K231" s="349"/>
      <c r="L231" s="349"/>
      <c r="M231" s="349"/>
      <c r="N231" s="349"/>
      <c r="O231" s="349"/>
      <c r="P231" s="745"/>
      <c r="Q231" s="129"/>
      <c r="R231" s="129"/>
      <c r="S231" s="129"/>
      <c r="T231" s="129"/>
      <c r="U231" s="129"/>
      <c r="V231" s="129"/>
      <c r="W231" s="129"/>
      <c r="X231" s="129"/>
      <c r="Y231" s="129"/>
      <c r="Z231" s="129"/>
      <c r="AA231" s="129"/>
      <c r="AB231" s="129"/>
      <c r="AC231" s="129"/>
      <c r="AD231" s="129"/>
      <c r="AE231" s="129"/>
      <c r="AF231" s="129"/>
      <c r="AG231" s="129"/>
      <c r="AH231" s="129"/>
      <c r="AI231" s="129"/>
      <c r="AJ231" s="129"/>
      <c r="AK231" s="129"/>
      <c r="AL231" s="129"/>
      <c r="AM231" s="129"/>
      <c r="AN231" s="129"/>
      <c r="AO231" s="129"/>
      <c r="AP231" s="129"/>
      <c r="AQ231" s="129"/>
      <c r="AR231" s="129"/>
      <c r="AS231" s="129"/>
      <c r="AT231" s="129"/>
      <c r="AU231" s="129"/>
      <c r="AV231" s="129"/>
      <c r="AW231" s="129"/>
    </row>
    <row r="232" spans="1:49" ht="15.75" customHeight="1">
      <c r="A232" s="129"/>
      <c r="B232" s="129"/>
      <c r="C232" s="129"/>
      <c r="D232" s="220"/>
      <c r="E232" s="349" t="s">
        <v>2747</v>
      </c>
      <c r="F232" s="349"/>
      <c r="G232" s="744"/>
      <c r="H232" s="744"/>
      <c r="I232" s="349"/>
      <c r="J232" s="349"/>
      <c r="K232" s="349"/>
      <c r="L232" s="349"/>
      <c r="M232" s="349"/>
      <c r="N232" s="349"/>
      <c r="O232" s="349"/>
      <c r="P232" s="745"/>
      <c r="Q232" s="129"/>
      <c r="R232" s="129"/>
      <c r="S232" s="129"/>
      <c r="T232" s="129"/>
      <c r="U232" s="129"/>
      <c r="V232" s="129"/>
      <c r="W232" s="129"/>
      <c r="X232" s="129"/>
      <c r="Y232" s="129"/>
      <c r="Z232" s="129"/>
      <c r="AA232" s="129"/>
      <c r="AB232" s="129"/>
      <c r="AC232" s="129"/>
      <c r="AD232" s="129"/>
      <c r="AE232" s="129"/>
      <c r="AF232" s="129"/>
      <c r="AG232" s="129"/>
      <c r="AH232" s="129"/>
      <c r="AI232" s="129"/>
      <c r="AJ232" s="129"/>
      <c r="AK232" s="129"/>
      <c r="AL232" s="129"/>
      <c r="AM232" s="129"/>
      <c r="AN232" s="129"/>
      <c r="AO232" s="129"/>
      <c r="AP232" s="129"/>
      <c r="AQ232" s="129"/>
      <c r="AR232" s="129"/>
      <c r="AS232" s="129"/>
      <c r="AT232" s="129"/>
      <c r="AU232" s="129"/>
      <c r="AV232" s="129"/>
      <c r="AW232" s="129"/>
    </row>
    <row r="233" spans="1:49" ht="15.75" customHeight="1">
      <c r="A233" s="129"/>
      <c r="B233" s="129"/>
      <c r="C233" s="129"/>
      <c r="D233" s="220"/>
      <c r="E233" s="349"/>
      <c r="F233" s="743" t="s">
        <v>2748</v>
      </c>
      <c r="G233" s="1150" t="s">
        <v>2749</v>
      </c>
      <c r="H233" s="1150"/>
      <c r="I233" s="349"/>
      <c r="J233" s="349"/>
      <c r="K233" s="349"/>
      <c r="L233" s="349"/>
      <c r="M233" s="349"/>
      <c r="N233" s="349"/>
      <c r="O233" s="349"/>
      <c r="P233" s="745"/>
      <c r="Q233" s="129"/>
      <c r="R233" s="129"/>
      <c r="S233" s="129"/>
      <c r="T233" s="129"/>
      <c r="U233" s="129"/>
      <c r="V233" s="129"/>
      <c r="W233" s="129"/>
      <c r="X233" s="129"/>
      <c r="Y233" s="129"/>
      <c r="Z233" s="129"/>
      <c r="AA233" s="129"/>
      <c r="AB233" s="129"/>
      <c r="AC233" s="129"/>
      <c r="AD233" s="129"/>
      <c r="AE233" s="129"/>
      <c r="AF233" s="129"/>
      <c r="AG233" s="129"/>
      <c r="AH233" s="129"/>
      <c r="AI233" s="129"/>
      <c r="AJ233" s="129"/>
      <c r="AK233" s="129"/>
      <c r="AL233" s="129"/>
      <c r="AM233" s="129"/>
      <c r="AN233" s="129"/>
      <c r="AO233" s="129"/>
      <c r="AP233" s="129"/>
      <c r="AQ233" s="129"/>
      <c r="AR233" s="129"/>
      <c r="AS233" s="129"/>
      <c r="AT233" s="129"/>
      <c r="AU233" s="129"/>
      <c r="AV233" s="129"/>
      <c r="AW233" s="129"/>
    </row>
    <row r="234" spans="1:49" ht="15.75" customHeight="1">
      <c r="A234" s="129"/>
      <c r="B234" s="129"/>
      <c r="C234" s="129"/>
      <c r="D234" s="220"/>
      <c r="E234" s="349"/>
      <c r="F234" s="743" t="s">
        <v>2220</v>
      </c>
      <c r="G234" s="1150" t="s">
        <v>2750</v>
      </c>
      <c r="H234" s="1150"/>
      <c r="I234" s="349"/>
      <c r="J234" s="349"/>
      <c r="K234" s="349"/>
      <c r="L234" s="349"/>
      <c r="M234" s="349"/>
      <c r="N234" s="349"/>
      <c r="O234" s="349"/>
      <c r="P234" s="745"/>
      <c r="Q234" s="129"/>
      <c r="R234" s="129"/>
      <c r="S234" s="129"/>
      <c r="T234" s="129"/>
      <c r="U234" s="129"/>
      <c r="V234" s="129"/>
      <c r="W234" s="129"/>
      <c r="X234" s="129"/>
      <c r="Y234" s="129"/>
      <c r="Z234" s="129"/>
      <c r="AA234" s="129"/>
      <c r="AB234" s="129"/>
      <c r="AC234" s="129"/>
      <c r="AD234" s="129"/>
      <c r="AE234" s="129"/>
      <c r="AF234" s="129"/>
      <c r="AG234" s="129"/>
      <c r="AH234" s="129"/>
      <c r="AI234" s="129"/>
      <c r="AJ234" s="129"/>
      <c r="AK234" s="129"/>
      <c r="AL234" s="129"/>
      <c r="AM234" s="129"/>
      <c r="AN234" s="129"/>
      <c r="AO234" s="129"/>
      <c r="AP234" s="129"/>
      <c r="AQ234" s="129"/>
      <c r="AR234" s="129"/>
      <c r="AS234" s="129"/>
      <c r="AT234" s="129"/>
      <c r="AU234" s="129"/>
      <c r="AV234" s="129"/>
      <c r="AW234" s="129"/>
    </row>
    <row r="235" spans="1:49" ht="15.75" customHeight="1">
      <c r="A235" s="129"/>
      <c r="B235" s="129"/>
      <c r="C235" s="129"/>
      <c r="D235" s="220"/>
      <c r="E235" s="349" t="s">
        <v>2744</v>
      </c>
      <c r="F235" s="349"/>
      <c r="G235" s="1150" t="s">
        <v>2746</v>
      </c>
      <c r="H235" s="1150"/>
      <c r="I235" s="349"/>
      <c r="J235" s="349"/>
      <c r="K235" s="349"/>
      <c r="L235" s="349"/>
      <c r="M235" s="349"/>
      <c r="N235" s="349"/>
      <c r="O235" s="349"/>
      <c r="P235" s="745"/>
      <c r="Q235" s="129"/>
      <c r="R235" s="129"/>
      <c r="S235" s="129"/>
      <c r="T235" s="129"/>
      <c r="U235" s="129"/>
      <c r="V235" s="129"/>
      <c r="W235" s="129"/>
      <c r="X235" s="129"/>
      <c r="Y235" s="129"/>
      <c r="Z235" s="129"/>
      <c r="AA235" s="129"/>
      <c r="AB235" s="129"/>
      <c r="AC235" s="129"/>
      <c r="AD235" s="129"/>
      <c r="AE235" s="129"/>
      <c r="AF235" s="129"/>
      <c r="AG235" s="129"/>
      <c r="AH235" s="129"/>
      <c r="AI235" s="129"/>
      <c r="AJ235" s="129"/>
      <c r="AK235" s="129"/>
      <c r="AL235" s="129"/>
      <c r="AM235" s="129"/>
      <c r="AN235" s="129"/>
      <c r="AO235" s="129"/>
      <c r="AP235" s="129"/>
      <c r="AQ235" s="129"/>
      <c r="AR235" s="129"/>
      <c r="AS235" s="129"/>
      <c r="AT235" s="129"/>
      <c r="AU235" s="129"/>
      <c r="AV235" s="129"/>
      <c r="AW235" s="129"/>
    </row>
    <row r="236" spans="1:49" ht="15.75" customHeight="1">
      <c r="A236" s="129"/>
      <c r="B236" s="129"/>
      <c r="C236" s="129"/>
      <c r="D236" s="220"/>
      <c r="E236" s="349" t="s">
        <v>2751</v>
      </c>
      <c r="F236" s="349"/>
      <c r="G236" s="1150" t="s">
        <v>2752</v>
      </c>
      <c r="H236" s="1150"/>
      <c r="I236" s="349"/>
      <c r="J236" s="349"/>
      <c r="K236" s="349"/>
      <c r="L236" s="349"/>
      <c r="M236" s="349"/>
      <c r="N236" s="349"/>
      <c r="O236" s="349"/>
      <c r="P236" s="745"/>
      <c r="Q236" s="129"/>
      <c r="R236" s="129"/>
      <c r="S236" s="129"/>
      <c r="T236" s="129"/>
      <c r="U236" s="129"/>
      <c r="V236" s="129"/>
      <c r="W236" s="129"/>
      <c r="X236" s="129"/>
      <c r="Y236" s="129"/>
      <c r="Z236" s="129"/>
      <c r="AA236" s="129"/>
      <c r="AB236" s="129"/>
      <c r="AC236" s="129"/>
      <c r="AD236" s="129"/>
      <c r="AE236" s="129"/>
      <c r="AF236" s="129"/>
      <c r="AG236" s="129"/>
      <c r="AH236" s="129"/>
      <c r="AI236" s="129"/>
      <c r="AJ236" s="129"/>
      <c r="AK236" s="129"/>
      <c r="AL236" s="129"/>
      <c r="AM236" s="129"/>
      <c r="AN236" s="129"/>
      <c r="AO236" s="129"/>
      <c r="AP236" s="129"/>
      <c r="AQ236" s="129"/>
      <c r="AR236" s="129"/>
      <c r="AS236" s="129"/>
      <c r="AT236" s="129"/>
      <c r="AU236" s="129"/>
      <c r="AV236" s="129"/>
      <c r="AW236" s="129"/>
    </row>
    <row r="237" spans="1:49" ht="15.75" customHeight="1">
      <c r="A237" s="129"/>
      <c r="B237" s="129"/>
      <c r="C237" s="129"/>
      <c r="D237" s="220"/>
      <c r="E237" s="349" t="s">
        <v>3144</v>
      </c>
      <c r="F237" s="349"/>
      <c r="G237" s="744" t="s">
        <v>3143</v>
      </c>
      <c r="H237" s="744"/>
      <c r="I237" s="349"/>
      <c r="J237" s="349"/>
      <c r="K237" s="349"/>
      <c r="L237" s="349"/>
      <c r="M237" s="349"/>
      <c r="N237" s="349"/>
      <c r="O237" s="349"/>
      <c r="P237" s="745"/>
      <c r="Q237" s="129"/>
      <c r="R237" s="129"/>
      <c r="S237" s="129"/>
      <c r="T237" s="129"/>
      <c r="U237" s="129"/>
      <c r="V237" s="129"/>
      <c r="W237" s="129"/>
      <c r="X237" s="129"/>
      <c r="Y237" s="129"/>
      <c r="Z237" s="129"/>
      <c r="AA237" s="129"/>
      <c r="AB237" s="129"/>
      <c r="AC237" s="129"/>
      <c r="AD237" s="129"/>
      <c r="AE237" s="129"/>
      <c r="AF237" s="129"/>
      <c r="AG237" s="129"/>
      <c r="AH237" s="129"/>
      <c r="AI237" s="129"/>
      <c r="AJ237" s="129"/>
      <c r="AK237" s="129"/>
      <c r="AL237" s="129"/>
      <c r="AM237" s="129"/>
      <c r="AN237" s="129"/>
      <c r="AO237" s="129"/>
      <c r="AP237" s="129"/>
      <c r="AQ237" s="129"/>
      <c r="AR237" s="129"/>
      <c r="AS237" s="129"/>
      <c r="AT237" s="129"/>
      <c r="AU237" s="129"/>
      <c r="AV237" s="129"/>
      <c r="AW237" s="129"/>
    </row>
    <row r="238" spans="1:49" ht="15.75" customHeight="1">
      <c r="A238" s="129"/>
      <c r="B238" s="129"/>
      <c r="C238" s="129"/>
      <c r="D238" s="266"/>
      <c r="E238" s="741"/>
      <c r="F238" s="741"/>
      <c r="G238" s="746"/>
      <c r="H238" s="746"/>
      <c r="I238" s="741"/>
      <c r="J238" s="741"/>
      <c r="K238" s="741"/>
      <c r="L238" s="741"/>
      <c r="M238" s="741"/>
      <c r="N238" s="741"/>
      <c r="O238" s="741"/>
      <c r="P238" s="742"/>
      <c r="Q238" s="129"/>
      <c r="R238" s="129"/>
      <c r="S238" s="129"/>
      <c r="T238" s="129"/>
      <c r="U238" s="129"/>
      <c r="V238" s="129"/>
      <c r="W238" s="129"/>
      <c r="X238" s="129"/>
      <c r="Y238" s="129"/>
      <c r="Z238" s="129"/>
      <c r="AA238" s="129"/>
      <c r="AB238" s="129"/>
      <c r="AC238" s="129"/>
      <c r="AD238" s="129"/>
      <c r="AE238" s="129"/>
      <c r="AF238" s="129"/>
      <c r="AG238" s="129"/>
      <c r="AH238" s="129"/>
      <c r="AI238" s="129"/>
      <c r="AJ238" s="129"/>
      <c r="AK238" s="129"/>
      <c r="AL238" s="129"/>
      <c r="AM238" s="129"/>
      <c r="AN238" s="129"/>
      <c r="AO238" s="129"/>
      <c r="AP238" s="129"/>
      <c r="AQ238" s="129"/>
      <c r="AR238" s="129"/>
      <c r="AS238" s="129"/>
      <c r="AT238" s="129"/>
      <c r="AU238" s="129"/>
      <c r="AV238" s="129"/>
      <c r="AW238" s="129"/>
    </row>
    <row r="239" spans="1:49" ht="15.75" customHeight="1">
      <c r="A239" s="129"/>
      <c r="B239" s="129"/>
      <c r="C239" s="129"/>
      <c r="D239" s="129"/>
      <c r="E239" s="129"/>
      <c r="F239" s="129"/>
      <c r="G239" s="142"/>
      <c r="H239" s="129"/>
      <c r="I239" s="129"/>
      <c r="J239" s="129"/>
      <c r="K239" s="129"/>
      <c r="L239" s="129"/>
      <c r="M239" s="129"/>
      <c r="N239" s="129"/>
      <c r="O239" s="129"/>
      <c r="P239" s="129"/>
      <c r="Q239" s="129"/>
      <c r="R239" s="129"/>
      <c r="S239" s="129"/>
      <c r="T239" s="129"/>
      <c r="U239" s="129"/>
      <c r="V239" s="129"/>
      <c r="W239" s="129"/>
      <c r="X239" s="129"/>
      <c r="Y239" s="129"/>
      <c r="Z239" s="129"/>
      <c r="AA239" s="129"/>
      <c r="AB239" s="129"/>
      <c r="AC239" s="129"/>
      <c r="AD239" s="129"/>
      <c r="AE239" s="129"/>
      <c r="AF239" s="129"/>
      <c r="AG239" s="129"/>
      <c r="AH239" s="129"/>
      <c r="AI239" s="129"/>
      <c r="AJ239" s="129"/>
      <c r="AK239" s="129"/>
      <c r="AL239" s="129"/>
      <c r="AM239" s="129"/>
      <c r="AN239" s="129"/>
      <c r="AO239" s="129"/>
      <c r="AP239" s="129"/>
      <c r="AQ239" s="129"/>
      <c r="AR239" s="129"/>
      <c r="AS239" s="129"/>
      <c r="AT239" s="129"/>
      <c r="AU239" s="129"/>
      <c r="AV239" s="129"/>
      <c r="AW239" s="129"/>
    </row>
    <row r="240" spans="1:49" ht="15.75" customHeight="1">
      <c r="A240" s="129"/>
      <c r="B240" s="1193" t="s">
        <v>2979</v>
      </c>
      <c r="C240" s="1194"/>
      <c r="D240" s="1194"/>
      <c r="E240" s="1195"/>
      <c r="F240" s="621" t="s">
        <v>2065</v>
      </c>
      <c r="G240" s="622"/>
      <c r="H240" s="623"/>
      <c r="I240" s="623"/>
      <c r="J240" s="623"/>
      <c r="K240" s="623"/>
      <c r="L240" s="623"/>
      <c r="M240" s="623"/>
      <c r="N240" s="623"/>
      <c r="O240" s="624"/>
      <c r="P240" s="432"/>
      <c r="Q240" s="129"/>
      <c r="R240" s="129"/>
      <c r="S240" s="129"/>
      <c r="T240" s="129"/>
      <c r="U240" s="129"/>
      <c r="V240" s="129"/>
      <c r="W240" s="129"/>
      <c r="X240" s="129"/>
      <c r="Y240" s="129"/>
      <c r="Z240" s="129"/>
      <c r="AA240" s="129"/>
      <c r="AB240" s="129"/>
      <c r="AC240" s="129"/>
      <c r="AD240" s="129"/>
      <c r="AE240" s="129"/>
      <c r="AF240" s="129"/>
      <c r="AG240" s="129"/>
      <c r="AH240" s="129"/>
      <c r="AI240" s="129"/>
      <c r="AJ240" s="129"/>
      <c r="AK240" s="129"/>
      <c r="AL240" s="129"/>
      <c r="AM240" s="129"/>
      <c r="AN240" s="129"/>
      <c r="AO240" s="129"/>
      <c r="AP240" s="129"/>
      <c r="AQ240" s="129"/>
      <c r="AR240" s="129"/>
      <c r="AS240" s="129"/>
      <c r="AT240" s="129"/>
      <c r="AU240" s="129"/>
      <c r="AV240" s="129"/>
      <c r="AW240" s="129"/>
    </row>
    <row r="241" spans="1:49" ht="15.75" customHeight="1">
      <c r="A241" s="129"/>
      <c r="B241" s="491"/>
      <c r="C241" s="304" t="s">
        <v>2672</v>
      </c>
      <c r="D241" s="492"/>
      <c r="E241" s="492"/>
      <c r="F241" s="207"/>
      <c r="G241" s="207"/>
      <c r="H241" s="207"/>
      <c r="I241" s="207"/>
      <c r="J241" s="207"/>
      <c r="K241" s="492"/>
      <c r="L241" s="207"/>
      <c r="M241" s="207"/>
      <c r="N241" s="207"/>
      <c r="O241" s="208"/>
      <c r="P241" s="432"/>
      <c r="Q241" s="129"/>
      <c r="R241" s="129"/>
      <c r="S241" s="129"/>
      <c r="T241" s="129"/>
      <c r="U241" s="129"/>
      <c r="V241" s="129"/>
      <c r="W241" s="129"/>
      <c r="X241" s="129"/>
      <c r="Y241" s="129"/>
      <c r="Z241" s="129"/>
      <c r="AA241" s="129"/>
      <c r="AB241" s="129"/>
      <c r="AC241" s="129"/>
      <c r="AD241" s="129"/>
      <c r="AE241" s="129"/>
      <c r="AF241" s="129"/>
      <c r="AG241" s="129"/>
      <c r="AH241" s="129"/>
      <c r="AI241" s="129"/>
      <c r="AJ241" s="129"/>
      <c r="AK241" s="129"/>
      <c r="AL241" s="129"/>
      <c r="AM241" s="129"/>
      <c r="AN241" s="129"/>
      <c r="AO241" s="129"/>
      <c r="AP241" s="129"/>
      <c r="AQ241" s="129"/>
      <c r="AR241" s="129"/>
      <c r="AS241" s="129"/>
      <c r="AT241" s="129"/>
      <c r="AU241" s="129"/>
      <c r="AV241" s="129"/>
      <c r="AW241" s="129"/>
    </row>
    <row r="242" spans="1:49" ht="15.75" customHeight="1">
      <c r="A242" s="129"/>
      <c r="B242" s="129"/>
      <c r="C242" s="216"/>
      <c r="D242" s="238"/>
      <c r="E242" s="809" t="s">
        <v>1353</v>
      </c>
      <c r="F242" s="681">
        <f>H65</f>
        <v>2100</v>
      </c>
      <c r="G242" s="681" t="s">
        <v>2833</v>
      </c>
      <c r="H242" s="681"/>
      <c r="I242" s="681"/>
      <c r="J242" s="218"/>
      <c r="K242" s="681"/>
      <c r="L242" s="218"/>
      <c r="M242" s="682"/>
      <c r="N242" s="682"/>
      <c r="O242" s="219"/>
      <c r="P242" s="432"/>
      <c r="Q242" s="129"/>
      <c r="R242" s="129"/>
      <c r="S242" s="129"/>
      <c r="T242" s="129"/>
      <c r="U242" s="129"/>
      <c r="V242" s="129"/>
      <c r="W242" s="129"/>
      <c r="X242" s="129"/>
      <c r="Y242" s="129"/>
      <c r="Z242" s="129"/>
      <c r="AA242" s="129"/>
      <c r="AB242" s="129"/>
      <c r="AC242" s="129"/>
      <c r="AD242" s="129"/>
      <c r="AE242" s="129"/>
      <c r="AF242" s="129"/>
      <c r="AG242" s="129"/>
      <c r="AH242" s="129"/>
      <c r="AI242" s="129"/>
      <c r="AJ242" s="129"/>
      <c r="AK242" s="129"/>
      <c r="AL242" s="129"/>
      <c r="AM242" s="129"/>
      <c r="AN242" s="129"/>
      <c r="AO242" s="129"/>
      <c r="AP242" s="129"/>
      <c r="AQ242" s="129"/>
      <c r="AR242" s="129"/>
      <c r="AS242" s="129"/>
      <c r="AT242" s="129"/>
      <c r="AU242" s="129"/>
      <c r="AV242" s="129"/>
      <c r="AW242" s="129"/>
    </row>
    <row r="243" spans="1:49" ht="15.75" customHeight="1">
      <c r="A243" s="129"/>
      <c r="B243" s="129"/>
      <c r="C243" s="220"/>
      <c r="D243" s="225"/>
      <c r="E243" s="502" t="s">
        <v>2673</v>
      </c>
      <c r="F243" s="657">
        <v>3</v>
      </c>
      <c r="G243" s="211"/>
      <c r="H243" s="211"/>
      <c r="I243" s="211"/>
      <c r="J243" s="212"/>
      <c r="K243" s="211"/>
      <c r="L243" s="212"/>
      <c r="M243" s="222"/>
      <c r="N243" s="222"/>
      <c r="O243" s="223"/>
      <c r="P243" s="432"/>
      <c r="Q243" s="129"/>
      <c r="R243" s="129"/>
      <c r="S243" s="129"/>
      <c r="T243" s="129"/>
      <c r="U243" s="129"/>
      <c r="V243" s="129"/>
      <c r="W243" s="129"/>
      <c r="X243" s="129"/>
      <c r="Y243" s="129"/>
      <c r="Z243" s="129"/>
      <c r="AA243" s="129"/>
      <c r="AB243" s="129"/>
      <c r="AC243" s="129"/>
      <c r="AD243" s="129"/>
      <c r="AE243" s="129"/>
      <c r="AF243" s="129"/>
      <c r="AG243" s="129"/>
      <c r="AH243" s="129"/>
      <c r="AI243" s="129"/>
      <c r="AJ243" s="129"/>
      <c r="AK243" s="129"/>
      <c r="AL243" s="129"/>
      <c r="AM243" s="129"/>
      <c r="AN243" s="129"/>
      <c r="AO243" s="129"/>
      <c r="AP243" s="129"/>
      <c r="AQ243" s="129"/>
      <c r="AR243" s="129"/>
      <c r="AS243" s="129"/>
      <c r="AT243" s="129"/>
      <c r="AU243" s="129"/>
      <c r="AV243" s="129"/>
      <c r="AW243" s="129"/>
    </row>
    <row r="244" spans="1:49" ht="15.75" customHeight="1">
      <c r="A244" s="129"/>
      <c r="B244" s="129"/>
      <c r="C244" s="220"/>
      <c r="D244" s="225"/>
      <c r="E244" s="502" t="s">
        <v>2699</v>
      </c>
      <c r="F244" s="749">
        <v>1</v>
      </c>
      <c r="G244" s="211"/>
      <c r="H244" s="211"/>
      <c r="I244" s="211"/>
      <c r="J244" s="212"/>
      <c r="K244" s="211"/>
      <c r="L244" s="212"/>
      <c r="M244" s="222"/>
      <c r="N244" s="222"/>
      <c r="O244" s="223"/>
      <c r="P244" s="432"/>
      <c r="Q244" s="129"/>
      <c r="R244" s="129"/>
      <c r="S244" s="129"/>
      <c r="T244" s="129"/>
      <c r="U244" s="129"/>
      <c r="V244" s="129"/>
      <c r="W244" s="129"/>
      <c r="X244" s="129"/>
      <c r="Y244" s="129"/>
      <c r="Z244" s="129"/>
      <c r="AA244" s="129"/>
      <c r="AB244" s="129"/>
      <c r="AC244" s="129"/>
      <c r="AD244" s="129"/>
      <c r="AE244" s="129"/>
      <c r="AF244" s="129"/>
      <c r="AG244" s="129"/>
      <c r="AH244" s="129"/>
      <c r="AI244" s="129"/>
      <c r="AJ244" s="129"/>
      <c r="AK244" s="129"/>
      <c r="AL244" s="129"/>
      <c r="AM244" s="129"/>
      <c r="AN244" s="129"/>
      <c r="AO244" s="129"/>
      <c r="AP244" s="129"/>
      <c r="AQ244" s="129"/>
      <c r="AR244" s="129"/>
      <c r="AS244" s="129"/>
      <c r="AT244" s="129"/>
      <c r="AU244" s="129"/>
      <c r="AV244" s="129"/>
      <c r="AW244" s="129"/>
    </row>
    <row r="245" spans="1:49" ht="15.75" customHeight="1">
      <c r="A245" s="129"/>
      <c r="B245" s="129"/>
      <c r="C245" s="220"/>
      <c r="D245" s="225"/>
      <c r="E245" s="502" t="s">
        <v>2760</v>
      </c>
      <c r="F245" s="1197" t="s">
        <v>2754</v>
      </c>
      <c r="G245" s="1197"/>
      <c r="H245" s="752" t="str">
        <f>IF(F245="Balanced", "Verify system meets definition of 'Balanced Whole-House Ventilation'","")</f>
        <v>Verify system meets definition of 'Balanced Whole-House Ventilation'</v>
      </c>
      <c r="I245" s="211"/>
      <c r="J245" s="212"/>
      <c r="K245" s="211"/>
      <c r="L245" s="212"/>
      <c r="M245" s="222"/>
      <c r="N245" s="222"/>
      <c r="O245" s="223"/>
      <c r="P245" s="432"/>
      <c r="Q245" s="129"/>
      <c r="R245" s="129"/>
      <c r="S245" s="129"/>
      <c r="T245" s="129"/>
      <c r="U245" s="129"/>
      <c r="V245" s="129"/>
      <c r="W245" s="129"/>
      <c r="X245" s="129"/>
      <c r="Y245" s="129"/>
      <c r="Z245" s="129"/>
      <c r="AA245" s="129"/>
      <c r="AB245" s="129"/>
      <c r="AC245" s="129"/>
      <c r="AD245" s="129"/>
      <c r="AE245" s="129"/>
      <c r="AF245" s="129"/>
      <c r="AG245" s="129"/>
      <c r="AH245" s="129"/>
      <c r="AI245" s="129"/>
      <c r="AJ245" s="129"/>
      <c r="AK245" s="129"/>
      <c r="AL245" s="129"/>
      <c r="AM245" s="129"/>
      <c r="AN245" s="129"/>
      <c r="AO245" s="129"/>
      <c r="AP245" s="129"/>
      <c r="AQ245" s="129"/>
      <c r="AR245" s="129"/>
      <c r="AS245" s="129"/>
      <c r="AT245" s="129"/>
      <c r="AU245" s="129"/>
      <c r="AV245" s="129"/>
      <c r="AW245" s="129"/>
    </row>
    <row r="246" spans="1:49" ht="15.75" customHeight="1">
      <c r="A246" s="129"/>
      <c r="B246" s="129"/>
      <c r="C246" s="220"/>
      <c r="D246" s="225"/>
      <c r="E246" s="502" t="s">
        <v>2761</v>
      </c>
      <c r="F246" s="1197" t="s">
        <v>2758</v>
      </c>
      <c r="G246" s="1197"/>
      <c r="H246" s="752" t="str">
        <f>IF(F246="Distributed", "Verify system meets definition of 'Distributed Whole-House Ventilation'","")</f>
        <v/>
      </c>
      <c r="I246" s="211"/>
      <c r="J246" s="212"/>
      <c r="K246" s="211"/>
      <c r="L246" s="212"/>
      <c r="M246" s="222"/>
      <c r="N246" s="222"/>
      <c r="O246" s="223"/>
      <c r="P246" s="432"/>
      <c r="Q246" s="129"/>
      <c r="R246" s="129"/>
      <c r="S246" s="129"/>
      <c r="T246" s="129"/>
      <c r="U246" s="129"/>
      <c r="V246" s="129"/>
      <c r="W246" s="129"/>
      <c r="X246" s="129"/>
      <c r="Y246" s="129"/>
      <c r="Z246" s="129"/>
      <c r="AA246" s="129"/>
      <c r="AB246" s="129"/>
      <c r="AC246" s="129"/>
      <c r="AD246" s="129"/>
      <c r="AE246" s="129"/>
      <c r="AF246" s="129"/>
      <c r="AG246" s="129"/>
      <c r="AH246" s="129"/>
      <c r="AI246" s="129"/>
      <c r="AJ246" s="129"/>
      <c r="AK246" s="129"/>
      <c r="AL246" s="129"/>
      <c r="AM246" s="129"/>
      <c r="AN246" s="129"/>
      <c r="AO246" s="129"/>
      <c r="AP246" s="129"/>
      <c r="AQ246" s="129"/>
      <c r="AR246" s="129"/>
      <c r="AS246" s="129"/>
      <c r="AT246" s="129"/>
      <c r="AU246" s="129"/>
      <c r="AV246" s="129"/>
      <c r="AW246" s="129"/>
    </row>
    <row r="247" spans="1:49" ht="15.75" customHeight="1">
      <c r="A247" s="129"/>
      <c r="B247" s="129"/>
      <c r="C247" s="220"/>
      <c r="D247" s="225"/>
      <c r="E247" s="502" t="s">
        <v>2697</v>
      </c>
      <c r="F247" s="211" t="str">
        <f>CONCATENATE(F796,", ",F797)</f>
        <v>IMC, Section 403</v>
      </c>
      <c r="G247" s="211"/>
      <c r="H247" s="211"/>
      <c r="I247" s="211"/>
      <c r="J247" s="212"/>
      <c r="K247" s="211"/>
      <c r="L247" s="212"/>
      <c r="M247" s="222"/>
      <c r="N247" s="222"/>
      <c r="O247" s="223"/>
      <c r="P247" s="432"/>
      <c r="Q247" s="129"/>
      <c r="R247" s="129"/>
      <c r="S247" s="129"/>
      <c r="T247" s="129"/>
      <c r="U247" s="129"/>
      <c r="V247" s="129"/>
      <c r="W247" s="129"/>
      <c r="X247" s="129"/>
      <c r="Y247" s="129"/>
      <c r="Z247" s="129"/>
      <c r="AA247" s="129"/>
      <c r="AB247" s="129"/>
      <c r="AC247" s="129"/>
      <c r="AD247" s="129"/>
      <c r="AE247" s="129"/>
      <c r="AF247" s="129"/>
      <c r="AG247" s="129"/>
      <c r="AH247" s="129"/>
      <c r="AI247" s="129"/>
      <c r="AJ247" s="129"/>
      <c r="AK247" s="129"/>
      <c r="AL247" s="129"/>
      <c r="AM247" s="129"/>
      <c r="AN247" s="129"/>
      <c r="AO247" s="129"/>
      <c r="AP247" s="129"/>
      <c r="AQ247" s="129"/>
      <c r="AR247" s="129"/>
      <c r="AS247" s="129"/>
      <c r="AT247" s="129"/>
      <c r="AU247" s="129"/>
      <c r="AV247" s="129"/>
      <c r="AW247" s="129"/>
    </row>
    <row r="248" spans="1:49" ht="15.75" customHeight="1">
      <c r="A248" s="129"/>
      <c r="B248" s="129"/>
      <c r="C248" s="220"/>
      <c r="D248" s="225"/>
      <c r="E248" s="502" t="s">
        <v>2698</v>
      </c>
      <c r="F248" s="368">
        <f ca="1">IFERROR('Group R'!F798,"")</f>
        <v>125</v>
      </c>
      <c r="G248" s="684" t="s">
        <v>2695</v>
      </c>
      <c r="H248" s="211"/>
      <c r="I248" s="211"/>
      <c r="J248" s="212"/>
      <c r="K248" s="211"/>
      <c r="L248" s="212"/>
      <c r="M248" s="222"/>
      <c r="N248" s="222"/>
      <c r="O248" s="223"/>
      <c r="P248" s="432"/>
      <c r="Q248" s="129"/>
      <c r="R248" s="129"/>
      <c r="S248" s="129"/>
      <c r="T248" s="129"/>
      <c r="U248" s="129"/>
      <c r="V248" s="129"/>
      <c r="W248" s="129"/>
      <c r="X248" s="129"/>
      <c r="Y248" s="129"/>
      <c r="Z248" s="129"/>
      <c r="AA248" s="129"/>
      <c r="AB248" s="129"/>
      <c r="AC248" s="129"/>
      <c r="AD248" s="129"/>
      <c r="AE248" s="129"/>
      <c r="AF248" s="129"/>
      <c r="AG248" s="129"/>
      <c r="AH248" s="129"/>
      <c r="AI248" s="129"/>
      <c r="AJ248" s="129"/>
      <c r="AK248" s="129"/>
      <c r="AL248" s="129"/>
      <c r="AM248" s="129"/>
      <c r="AN248" s="129"/>
      <c r="AO248" s="129"/>
      <c r="AP248" s="129"/>
      <c r="AQ248" s="129"/>
      <c r="AR248" s="129"/>
      <c r="AS248" s="129"/>
      <c r="AT248" s="129"/>
      <c r="AU248" s="129"/>
      <c r="AV248" s="129"/>
      <c r="AW248" s="129"/>
    </row>
    <row r="249" spans="1:49" ht="15.75" customHeight="1">
      <c r="A249" s="129"/>
      <c r="B249" s="129"/>
      <c r="C249" s="266"/>
      <c r="D249" s="137"/>
      <c r="E249" s="508"/>
      <c r="F249" s="137"/>
      <c r="G249" s="137"/>
      <c r="H249" s="137"/>
      <c r="I249" s="137"/>
      <c r="J249" s="683"/>
      <c r="K249" s="137"/>
      <c r="L249" s="509"/>
      <c r="M249" s="137"/>
      <c r="N249" s="137"/>
      <c r="O249" s="237"/>
      <c r="P249" s="432"/>
      <c r="Q249" s="129"/>
      <c r="R249" s="129"/>
      <c r="S249" s="129"/>
      <c r="T249" s="129"/>
      <c r="U249" s="129"/>
      <c r="V249" s="129"/>
      <c r="W249" s="129"/>
      <c r="X249" s="129"/>
      <c r="Y249" s="129"/>
      <c r="Z249" s="129"/>
      <c r="AA249" s="129"/>
      <c r="AB249" s="129"/>
      <c r="AC249" s="129"/>
      <c r="AD249" s="129"/>
      <c r="AE249" s="129"/>
      <c r="AF249" s="129"/>
      <c r="AG249" s="129"/>
      <c r="AH249" s="129"/>
      <c r="AI249" s="129"/>
      <c r="AJ249" s="129"/>
      <c r="AK249" s="129"/>
      <c r="AL249" s="129"/>
      <c r="AM249" s="129"/>
      <c r="AN249" s="129"/>
      <c r="AO249" s="129"/>
      <c r="AP249" s="129"/>
      <c r="AQ249" s="129"/>
      <c r="AR249" s="129"/>
      <c r="AS249" s="129"/>
      <c r="AT249" s="129"/>
      <c r="AU249" s="129"/>
      <c r="AV249" s="129"/>
      <c r="AW249" s="129"/>
    </row>
    <row r="250" spans="1:49" ht="15.75" customHeight="1">
      <c r="A250" s="129"/>
      <c r="B250" s="129"/>
      <c r="C250" s="129"/>
      <c r="D250" s="129"/>
      <c r="E250" s="129"/>
      <c r="F250" s="142"/>
      <c r="G250" s="129"/>
      <c r="H250" s="129"/>
      <c r="I250" s="129"/>
      <c r="J250" s="129"/>
      <c r="K250" s="129"/>
      <c r="L250" s="129"/>
      <c r="M250" s="129"/>
      <c r="N250" s="129"/>
      <c r="O250" s="129"/>
      <c r="P250" s="432"/>
      <c r="Q250" s="129"/>
      <c r="R250" s="129"/>
      <c r="S250" s="129"/>
      <c r="T250" s="129"/>
      <c r="U250" s="129"/>
      <c r="V250" s="129"/>
      <c r="W250" s="129"/>
      <c r="X250" s="129"/>
      <c r="Y250" s="129"/>
      <c r="Z250" s="129"/>
      <c r="AA250" s="129"/>
      <c r="AB250" s="129"/>
      <c r="AC250" s="129"/>
      <c r="AD250" s="129"/>
      <c r="AE250" s="129"/>
      <c r="AF250" s="129"/>
      <c r="AG250" s="129"/>
      <c r="AH250" s="129"/>
      <c r="AI250" s="129"/>
      <c r="AJ250" s="129"/>
      <c r="AK250" s="129"/>
      <c r="AL250" s="129"/>
      <c r="AM250" s="129"/>
      <c r="AN250" s="129"/>
      <c r="AO250" s="129"/>
      <c r="AP250" s="129"/>
      <c r="AQ250" s="129"/>
      <c r="AR250" s="129"/>
      <c r="AS250" s="129"/>
      <c r="AT250" s="129"/>
      <c r="AU250" s="129"/>
      <c r="AV250" s="129"/>
      <c r="AW250" s="129"/>
    </row>
    <row r="251" spans="1:49" ht="15.75" customHeight="1">
      <c r="A251" s="129"/>
      <c r="B251" s="1193" t="s">
        <v>2978</v>
      </c>
      <c r="C251" s="1194"/>
      <c r="D251" s="1194"/>
      <c r="E251" s="1195"/>
      <c r="F251" s="621" t="s">
        <v>2065</v>
      </c>
      <c r="G251" s="622"/>
      <c r="H251" s="623"/>
      <c r="I251" s="623"/>
      <c r="J251" s="623"/>
      <c r="K251" s="623"/>
      <c r="L251" s="623"/>
      <c r="M251" s="623"/>
      <c r="N251" s="623"/>
      <c r="O251" s="624"/>
      <c r="P251" s="432"/>
      <c r="Q251" s="129"/>
      <c r="R251" s="129"/>
      <c r="S251" s="129"/>
      <c r="T251" s="129"/>
      <c r="U251" s="129"/>
      <c r="V251" s="129"/>
      <c r="W251" s="129"/>
      <c r="X251" s="129"/>
      <c r="Y251" s="129"/>
      <c r="Z251" s="129"/>
      <c r="AA251" s="129"/>
      <c r="AB251" s="129"/>
      <c r="AC251" s="129"/>
      <c r="AD251" s="129"/>
      <c r="AE251" s="129"/>
      <c r="AF251" s="129"/>
      <c r="AG251" s="129"/>
      <c r="AH251" s="129"/>
      <c r="AI251" s="129"/>
      <c r="AJ251" s="129"/>
      <c r="AK251" s="129"/>
      <c r="AL251" s="129"/>
      <c r="AM251" s="129"/>
      <c r="AN251" s="129"/>
      <c r="AO251" s="129"/>
      <c r="AP251" s="129"/>
      <c r="AQ251" s="129"/>
      <c r="AR251" s="129"/>
      <c r="AS251" s="129"/>
      <c r="AT251" s="129"/>
      <c r="AU251" s="129"/>
      <c r="AV251" s="129"/>
      <c r="AW251" s="129"/>
    </row>
    <row r="252" spans="1:49" ht="15.75" customHeight="1">
      <c r="A252"/>
      <c r="B252" s="253"/>
      <c r="C252" s="707" t="s">
        <v>2727</v>
      </c>
      <c r="D252" s="345"/>
      <c r="E252" s="345"/>
      <c r="F252" s="347"/>
      <c r="G252" s="346"/>
      <c r="H252" s="708" t="s">
        <v>2724</v>
      </c>
      <c r="I252" s="1135" t="s">
        <v>2709</v>
      </c>
      <c r="J252" s="1135"/>
      <c r="K252" s="1135"/>
      <c r="L252" s="1135"/>
      <c r="M252" s="1135"/>
      <c r="N252" s="1135"/>
      <c r="O252" s="1136"/>
      <c r="P252" s="432"/>
      <c r="Q252" s="129"/>
      <c r="R252" s="129"/>
      <c r="S252" s="129"/>
      <c r="T252" s="129"/>
      <c r="U252" s="129"/>
      <c r="V252" s="129"/>
      <c r="W252" s="129"/>
      <c r="X252" s="129"/>
      <c r="Y252" s="129"/>
      <c r="Z252" s="129"/>
      <c r="AA252" s="129"/>
      <c r="AB252" s="129"/>
      <c r="AC252" s="129"/>
      <c r="AD252" s="129"/>
      <c r="AE252" s="129"/>
      <c r="AF252" s="129"/>
      <c r="AG252" s="129"/>
      <c r="AH252" s="129"/>
      <c r="AI252" s="129"/>
      <c r="AJ252" s="129"/>
      <c r="AK252" s="129"/>
      <c r="AL252" s="129"/>
      <c r="AM252" s="129"/>
      <c r="AN252" s="129"/>
      <c r="AO252" s="129"/>
      <c r="AP252" s="129"/>
      <c r="AQ252" s="129"/>
      <c r="AR252" s="129"/>
      <c r="AS252" s="129"/>
      <c r="AT252" s="129"/>
      <c r="AU252" s="129"/>
      <c r="AV252" s="129"/>
      <c r="AW252" s="129"/>
    </row>
    <row r="253" spans="1:49" ht="15.75" customHeight="1">
      <c r="A253"/>
      <c r="B253" s="129"/>
      <c r="C253" s="216"/>
      <c r="D253" s="701" t="s">
        <v>2726</v>
      </c>
      <c r="E253" s="701"/>
      <c r="F253" s="701"/>
      <c r="G253" s="1137" t="s">
        <v>2340</v>
      </c>
      <c r="H253" s="1137"/>
      <c r="I253" s="1137"/>
      <c r="J253" s="1137"/>
      <c r="K253" s="238"/>
      <c r="L253" s="238"/>
      <c r="M253" s="238"/>
      <c r="N253" s="238"/>
      <c r="O253" s="219"/>
      <c r="P253" s="432"/>
      <c r="Q253" s="129"/>
      <c r="R253" s="129"/>
      <c r="S253" s="129"/>
      <c r="T253" s="129"/>
      <c r="U253" s="129"/>
      <c r="V253" s="129"/>
      <c r="W253" s="129"/>
      <c r="X253" s="129"/>
      <c r="Y253" s="129"/>
      <c r="Z253" s="129"/>
      <c r="AA253" s="129"/>
      <c r="AB253" s="129"/>
      <c r="AC253" s="129"/>
      <c r="AD253" s="129"/>
      <c r="AE253" s="129"/>
      <c r="AF253" s="129"/>
      <c r="AG253" s="129"/>
      <c r="AH253" s="129"/>
      <c r="AI253" s="129"/>
      <c r="AJ253" s="129"/>
      <c r="AK253" s="129"/>
      <c r="AL253" s="129"/>
      <c r="AM253" s="129"/>
      <c r="AN253" s="129"/>
      <c r="AO253" s="129"/>
      <c r="AP253" s="129"/>
      <c r="AQ253" s="129"/>
      <c r="AR253" s="129"/>
      <c r="AS253" s="129"/>
      <c r="AT253" s="129"/>
      <c r="AU253" s="129"/>
      <c r="AV253" s="129"/>
      <c r="AW253" s="129"/>
    </row>
    <row r="254" spans="1:49" ht="15.75" customHeight="1">
      <c r="A254" s="129"/>
      <c r="B254" s="129"/>
      <c r="C254" s="220"/>
      <c r="D254" s="349" t="str">
        <f>IF(Menu_HydronicHeatingSystem="Yes","Location of Hydronic Distribution System, including HW Storage Tank","Location of Ducts")</f>
        <v>Location of Ducts</v>
      </c>
      <c r="E254" s="349"/>
      <c r="F254" s="349"/>
      <c r="G254" s="1137" t="s">
        <v>2155</v>
      </c>
      <c r="H254" s="1137"/>
      <c r="I254" s="1137"/>
      <c r="J254" s="1138"/>
      <c r="K254" s="713" t="str">
        <f>IF(Menu_DuctLocation="","Select location from drop down",CONCATENATE(H903,G903))</f>
        <v/>
      </c>
      <c r="L254" s="225"/>
      <c r="M254" s="225"/>
      <c r="N254" s="225"/>
      <c r="O254" s="223"/>
      <c r="P254" s="432"/>
      <c r="Q254" s="129"/>
      <c r="R254" s="129"/>
      <c r="S254" s="129"/>
      <c r="T254" s="129"/>
      <c r="U254" s="129"/>
      <c r="V254" s="129"/>
      <c r="W254" s="129"/>
      <c r="X254" s="129"/>
      <c r="Y254" s="129"/>
      <c r="Z254" s="129"/>
      <c r="AA254" s="129"/>
      <c r="AB254" s="129"/>
      <c r="AC254" s="129"/>
      <c r="AD254" s="129"/>
      <c r="AE254" s="129"/>
      <c r="AF254" s="129"/>
      <c r="AG254" s="129"/>
      <c r="AH254" s="129"/>
      <c r="AI254" s="129"/>
      <c r="AJ254" s="129"/>
      <c r="AK254" s="129"/>
      <c r="AL254" s="129"/>
      <c r="AM254" s="129"/>
      <c r="AN254" s="129"/>
      <c r="AO254" s="129"/>
      <c r="AP254" s="129"/>
      <c r="AQ254" s="129"/>
      <c r="AR254" s="129"/>
      <c r="AS254" s="129"/>
      <c r="AT254" s="129"/>
      <c r="AU254" s="129"/>
      <c r="AV254" s="129"/>
      <c r="AW254" s="129"/>
    </row>
    <row r="255" spans="1:49" ht="15.75" customHeight="1">
      <c r="A255" s="129"/>
      <c r="B255" s="129"/>
      <c r="C255" s="220"/>
      <c r="D255" s="349" t="str">
        <f>IF(Menu_HydronicHeatingSystem="No","Location of Air Handler","Location of Boiler or Heat Pump Evaporator Coil")</f>
        <v>Location of Air Handler</v>
      </c>
      <c r="E255" s="349"/>
      <c r="F255" s="349"/>
      <c r="G255" s="1137" t="s">
        <v>2155</v>
      </c>
      <c r="H255" s="1137"/>
      <c r="I255" s="1137"/>
      <c r="J255" s="1138"/>
      <c r="K255" s="713" t="str">
        <f>IF(Menu_AirHandlerLocation="","Select location from drop down",CONCATENATE(H905,G905))</f>
        <v/>
      </c>
      <c r="L255" s="225"/>
      <c r="M255" s="225"/>
      <c r="N255" s="225"/>
      <c r="O255" s="223"/>
      <c r="P255" s="432"/>
      <c r="Q255" s="129"/>
      <c r="R255" s="129"/>
      <c r="S255" s="129"/>
      <c r="T255" s="129"/>
      <c r="U255" s="129"/>
      <c r="V255" s="129"/>
      <c r="W255" s="129"/>
      <c r="X255" s="129"/>
      <c r="Y255" s="129"/>
      <c r="Z255" s="129"/>
      <c r="AA255" s="129"/>
      <c r="AB255" s="129"/>
      <c r="AC255" s="129"/>
      <c r="AD255" s="129"/>
      <c r="AE255" s="129"/>
      <c r="AF255" s="129"/>
      <c r="AG255" s="129"/>
      <c r="AH255" s="129"/>
      <c r="AI255" s="129"/>
      <c r="AJ255" s="129"/>
      <c r="AK255" s="129"/>
      <c r="AL255" s="129"/>
      <c r="AM255" s="129"/>
      <c r="AN255" s="129"/>
      <c r="AO255" s="129"/>
      <c r="AP255" s="129"/>
      <c r="AQ255" s="129"/>
      <c r="AR255" s="129"/>
      <c r="AS255" s="129"/>
      <c r="AT255" s="129"/>
      <c r="AU255" s="129"/>
      <c r="AV255" s="129"/>
      <c r="AW255" s="129"/>
    </row>
    <row r="256" spans="1:49" ht="15.75" hidden="1" customHeight="1">
      <c r="A256" s="129"/>
      <c r="B256" s="129"/>
      <c r="C256" s="220"/>
      <c r="D256" s="147" t="s">
        <v>2982</v>
      </c>
      <c r="E256" s="349"/>
      <c r="F256" s="357"/>
      <c r="G256" s="357"/>
      <c r="H256" s="225"/>
      <c r="I256" s="225"/>
      <c r="J256" s="225"/>
      <c r="K256" s="225"/>
      <c r="L256" s="225"/>
      <c r="M256" s="225"/>
      <c r="N256" s="225"/>
      <c r="O256" s="223"/>
      <c r="P256" s="432"/>
      <c r="Q256" s="129"/>
      <c r="R256" s="129"/>
      <c r="S256" s="129"/>
      <c r="T256" s="129"/>
      <c r="U256" s="129"/>
      <c r="V256" s="129"/>
      <c r="W256" s="129"/>
      <c r="X256" s="129"/>
      <c r="Y256" s="129"/>
      <c r="Z256" s="129"/>
      <c r="AA256" s="129"/>
      <c r="AB256" s="129"/>
      <c r="AC256" s="129"/>
      <c r="AD256" s="129"/>
      <c r="AE256" s="129"/>
      <c r="AF256" s="129"/>
      <c r="AG256" s="129"/>
      <c r="AH256" s="129"/>
      <c r="AI256" s="129"/>
      <c r="AJ256" s="129"/>
      <c r="AK256" s="129"/>
      <c r="AL256" s="129"/>
      <c r="AM256" s="129"/>
      <c r="AN256" s="129"/>
      <c r="AO256" s="129"/>
      <c r="AP256" s="129"/>
      <c r="AQ256" s="129"/>
      <c r="AR256" s="129"/>
      <c r="AS256" s="129"/>
      <c r="AT256" s="129"/>
      <c r="AU256" s="129"/>
      <c r="AV256" s="129"/>
      <c r="AW256" s="129"/>
    </row>
    <row r="257" spans="1:49" ht="30" hidden="1" customHeight="1">
      <c r="A257" s="129"/>
      <c r="B257" s="129"/>
      <c r="C257" s="220"/>
      <c r="D257" s="1176" t="s">
        <v>2711</v>
      </c>
      <c r="E257" s="1176"/>
      <c r="F257" s="1177"/>
      <c r="G257" s="693" t="s">
        <v>2340</v>
      </c>
      <c r="H257" s="225"/>
      <c r="I257" s="350"/>
      <c r="J257" s="704"/>
      <c r="K257" s="225"/>
      <c r="L257" s="225"/>
      <c r="M257" s="225"/>
      <c r="N257" s="225"/>
      <c r="O257" s="223"/>
      <c r="P257" s="432"/>
      <c r="Q257" s="129"/>
      <c r="R257" s="129"/>
      <c r="S257" s="129"/>
      <c r="T257" s="129"/>
      <c r="U257" s="129"/>
      <c r="V257" s="129"/>
      <c r="W257" s="129"/>
      <c r="X257" s="129"/>
      <c r="Y257" s="129"/>
      <c r="Z257" s="129"/>
      <c r="AA257" s="129"/>
      <c r="AB257" s="129"/>
      <c r="AC257" s="129"/>
      <c r="AD257" s="129"/>
      <c r="AE257" s="129"/>
      <c r="AF257" s="129"/>
      <c r="AG257" s="129"/>
      <c r="AH257" s="129"/>
      <c r="AI257" s="129"/>
      <c r="AJ257" s="129"/>
      <c r="AK257" s="129"/>
      <c r="AL257" s="129"/>
      <c r="AM257" s="129"/>
      <c r="AN257" s="129"/>
      <c r="AO257" s="129"/>
      <c r="AP257" s="129"/>
      <c r="AQ257" s="129"/>
      <c r="AR257" s="129"/>
      <c r="AS257" s="129"/>
      <c r="AT257" s="129"/>
      <c r="AU257" s="129"/>
      <c r="AV257" s="129"/>
      <c r="AW257" s="129"/>
    </row>
    <row r="258" spans="1:49" ht="30" hidden="1" customHeight="1">
      <c r="A258" s="129"/>
      <c r="B258" s="129"/>
      <c r="C258" s="220"/>
      <c r="D258" s="1190" t="s">
        <v>3082</v>
      </c>
      <c r="E258" s="1191"/>
      <c r="F258" s="1192"/>
      <c r="G258" s="693" t="s">
        <v>2340</v>
      </c>
      <c r="H258" s="225" t="str">
        <f>IF(AND(G258="No",Menu_DuctLocation="Conditioned Space"),"Inconsistent with input above:  Ducts located in conditioned space.","-")</f>
        <v>-</v>
      </c>
      <c r="I258" s="350"/>
      <c r="J258" s="225"/>
      <c r="K258" s="225"/>
      <c r="L258" s="225"/>
      <c r="M258" s="225"/>
      <c r="N258" s="225"/>
      <c r="O258" s="223"/>
      <c r="P258" s="432"/>
      <c r="Q258" s="129"/>
      <c r="R258" s="129"/>
      <c r="S258" s="129"/>
      <c r="T258" s="129"/>
      <c r="U258" s="129"/>
      <c r="V258" s="129"/>
      <c r="W258" s="129"/>
      <c r="X258" s="129"/>
      <c r="Y258" s="129"/>
      <c r="Z258" s="129"/>
      <c r="AA258" s="129"/>
      <c r="AB258" s="129"/>
      <c r="AC258" s="129"/>
      <c r="AD258" s="129"/>
      <c r="AE258" s="129"/>
      <c r="AF258" s="129"/>
      <c r="AG258" s="129"/>
      <c r="AH258" s="129"/>
      <c r="AI258" s="129"/>
      <c r="AJ258" s="129"/>
      <c r="AK258" s="129"/>
      <c r="AL258" s="129"/>
      <c r="AM258" s="129"/>
      <c r="AN258" s="129"/>
      <c r="AO258" s="129"/>
      <c r="AP258" s="129"/>
      <c r="AQ258" s="129"/>
      <c r="AR258" s="129"/>
      <c r="AS258" s="129"/>
      <c r="AT258" s="129"/>
      <c r="AU258" s="129"/>
      <c r="AV258" s="129"/>
      <c r="AW258" s="129"/>
    </row>
    <row r="259" spans="1:49" ht="30" hidden="1" customHeight="1">
      <c r="A259" s="129"/>
      <c r="B259" s="129"/>
      <c r="C259" s="220"/>
      <c r="D259" s="1191" t="s">
        <v>2712</v>
      </c>
      <c r="E259" s="1191"/>
      <c r="F259" s="1192"/>
      <c r="G259" s="693" t="s">
        <v>2340</v>
      </c>
      <c r="H259" s="225"/>
      <c r="I259" s="350"/>
      <c r="J259" s="225"/>
      <c r="K259" s="225"/>
      <c r="L259" s="225"/>
      <c r="M259" s="225"/>
      <c r="N259" s="225"/>
      <c r="O259" s="223"/>
      <c r="P259" s="432"/>
      <c r="Q259" s="129"/>
      <c r="R259" s="129"/>
      <c r="S259" s="129"/>
      <c r="T259" s="129"/>
      <c r="U259" s="129"/>
      <c r="V259" s="129"/>
      <c r="W259" s="129"/>
      <c r="X259" s="129"/>
      <c r="Y259" s="129"/>
      <c r="Z259" s="129"/>
      <c r="AA259" s="129"/>
      <c r="AB259" s="129"/>
      <c r="AC259" s="129"/>
      <c r="AD259" s="129"/>
      <c r="AE259" s="129"/>
      <c r="AF259" s="129"/>
      <c r="AG259" s="129"/>
      <c r="AH259" s="129"/>
      <c r="AI259" s="129"/>
      <c r="AJ259" s="129"/>
      <c r="AK259" s="129"/>
      <c r="AL259" s="129"/>
      <c r="AM259" s="129"/>
      <c r="AN259" s="129"/>
      <c r="AO259" s="129"/>
      <c r="AP259" s="129"/>
      <c r="AQ259" s="129"/>
      <c r="AR259" s="129"/>
      <c r="AS259" s="129"/>
      <c r="AT259" s="129"/>
      <c r="AU259" s="129"/>
      <c r="AV259" s="129"/>
      <c r="AW259" s="129"/>
    </row>
    <row r="260" spans="1:49" ht="30" hidden="1" customHeight="1">
      <c r="A260" s="129"/>
      <c r="B260" s="129"/>
      <c r="C260" s="220"/>
      <c r="D260" s="1191" t="s">
        <v>2713</v>
      </c>
      <c r="E260" s="1191"/>
      <c r="F260" s="1192"/>
      <c r="G260" s="693" t="s">
        <v>2340</v>
      </c>
      <c r="H260" s="225"/>
      <c r="I260" s="225"/>
      <c r="J260" s="225"/>
      <c r="K260" s="225"/>
      <c r="L260" s="225"/>
      <c r="M260" s="225"/>
      <c r="N260" s="225"/>
      <c r="O260" s="223"/>
      <c r="P260" s="711"/>
      <c r="Q260" s="129"/>
      <c r="R260" s="129"/>
      <c r="S260" s="129"/>
      <c r="T260" s="129"/>
      <c r="U260" s="129"/>
      <c r="V260" s="129"/>
      <c r="W260" s="129"/>
      <c r="X260" s="129"/>
      <c r="Y260" s="129"/>
      <c r="Z260" s="129"/>
      <c r="AA260" s="129"/>
      <c r="AB260" s="129"/>
      <c r="AC260" s="129"/>
      <c r="AD260" s="129"/>
      <c r="AE260" s="129"/>
      <c r="AF260" s="129"/>
      <c r="AG260" s="129"/>
      <c r="AH260" s="129"/>
      <c r="AI260" s="129"/>
      <c r="AJ260" s="129"/>
      <c r="AK260" s="129"/>
      <c r="AL260" s="129"/>
      <c r="AM260" s="129"/>
      <c r="AN260" s="129"/>
      <c r="AO260" s="129"/>
      <c r="AP260" s="129"/>
      <c r="AQ260" s="129"/>
      <c r="AR260" s="129"/>
      <c r="AS260" s="129"/>
      <c r="AT260" s="129"/>
      <c r="AU260" s="129"/>
      <c r="AV260" s="129"/>
      <c r="AW260" s="129"/>
    </row>
    <row r="261" spans="1:49" ht="15.75" customHeight="1">
      <c r="A261" s="129"/>
      <c r="B261" s="129"/>
      <c r="C261" s="220"/>
      <c r="D261" s="225"/>
      <c r="E261" s="147"/>
      <c r="F261" s="250" t="s">
        <v>2710</v>
      </c>
      <c r="G261" s="354" t="str">
        <f>F878</f>
        <v>Yes</v>
      </c>
      <c r="H261" s="225"/>
      <c r="I261" s="225"/>
      <c r="J261" s="225"/>
      <c r="K261" s="225"/>
      <c r="L261" s="225"/>
      <c r="M261" s="225"/>
      <c r="N261" s="225"/>
      <c r="O261" s="223"/>
      <c r="P261" s="432"/>
      <c r="Q261" s="129"/>
      <c r="R261" s="129"/>
      <c r="S261" s="129"/>
      <c r="T261" s="129"/>
      <c r="U261" s="129"/>
      <c r="V261" s="129"/>
      <c r="W261" s="129"/>
      <c r="X261" s="129"/>
      <c r="Y261" s="129"/>
      <c r="Z261" s="129"/>
      <c r="AA261" s="129"/>
      <c r="AB261" s="129"/>
      <c r="AC261" s="129"/>
      <c r="AD261" s="129"/>
      <c r="AE261" s="129"/>
      <c r="AF261" s="129"/>
      <c r="AG261" s="129"/>
      <c r="AH261" s="129"/>
      <c r="AI261" s="129"/>
      <c r="AJ261" s="129"/>
      <c r="AK261" s="129"/>
      <c r="AL261" s="129"/>
      <c r="AM261" s="129"/>
      <c r="AN261" s="129"/>
      <c r="AO261" s="129"/>
      <c r="AP261" s="129"/>
      <c r="AQ261" s="129"/>
      <c r="AR261" s="129"/>
      <c r="AS261" s="129"/>
      <c r="AT261" s="129"/>
      <c r="AU261" s="129"/>
      <c r="AV261" s="129"/>
      <c r="AW261" s="129"/>
    </row>
    <row r="262" spans="1:49" ht="15.75" customHeight="1">
      <c r="A262" s="129"/>
      <c r="B262" s="129"/>
      <c r="C262" s="220"/>
      <c r="D262" s="225"/>
      <c r="E262" s="147"/>
      <c r="F262" s="250"/>
      <c r="G262" s="227"/>
      <c r="H262" s="225"/>
      <c r="I262" s="225"/>
      <c r="J262" s="225"/>
      <c r="K262" s="225"/>
      <c r="L262" s="225"/>
      <c r="M262" s="225"/>
      <c r="N262" s="225"/>
      <c r="O262" s="223"/>
      <c r="P262" s="432"/>
      <c r="Q262" s="129"/>
      <c r="R262" s="129"/>
      <c r="S262" s="129"/>
      <c r="T262" s="129"/>
      <c r="U262" s="129"/>
      <c r="V262" s="129"/>
      <c r="W262" s="129"/>
      <c r="X262" s="129"/>
      <c r="Y262" s="129"/>
      <c r="Z262" s="129"/>
      <c r="AA262" s="129"/>
      <c r="AB262" s="129"/>
      <c r="AC262" s="129"/>
      <c r="AD262" s="129"/>
      <c r="AE262" s="129"/>
      <c r="AF262" s="129"/>
      <c r="AG262" s="129"/>
      <c r="AH262" s="129"/>
      <c r="AI262" s="129"/>
      <c r="AJ262" s="129"/>
      <c r="AK262" s="129"/>
      <c r="AL262" s="129"/>
      <c r="AM262" s="129"/>
      <c r="AN262" s="129"/>
      <c r="AO262" s="129"/>
      <c r="AP262" s="129"/>
      <c r="AQ262" s="129"/>
      <c r="AR262" s="129"/>
      <c r="AS262" s="129"/>
      <c r="AT262" s="129"/>
      <c r="AU262" s="129"/>
      <c r="AV262" s="129"/>
      <c r="AW262" s="129"/>
    </row>
    <row r="263" spans="1:49" ht="15.75" customHeight="1">
      <c r="A263" s="129"/>
      <c r="B263" s="129"/>
      <c r="C263" s="220"/>
      <c r="D263" s="147" t="s">
        <v>2725</v>
      </c>
      <c r="E263" s="147"/>
      <c r="F263" s="359"/>
      <c r="G263" s="702" t="str">
        <f>IF(F896="Yes","Option 4.1 Buried Ducts is Selected","")</f>
        <v/>
      </c>
      <c r="H263" s="703"/>
      <c r="I263" s="703"/>
      <c r="J263" s="225"/>
      <c r="K263" s="225"/>
      <c r="L263" s="225"/>
      <c r="M263" s="225"/>
      <c r="N263" s="225"/>
      <c r="O263" s="223"/>
      <c r="P263" s="432"/>
      <c r="Q263" s="129"/>
      <c r="R263" s="129"/>
      <c r="S263" s="129"/>
      <c r="T263" s="129"/>
      <c r="U263" s="129"/>
      <c r="V263" s="129"/>
      <c r="W263" s="129"/>
      <c r="X263" s="129"/>
      <c r="Y263" s="129"/>
      <c r="Z263" s="129"/>
      <c r="AA263" s="129"/>
      <c r="AB263" s="129"/>
      <c r="AC263" s="129"/>
      <c r="AD263" s="129"/>
      <c r="AE263" s="129"/>
      <c r="AF263" s="129"/>
      <c r="AG263" s="129"/>
      <c r="AH263" s="129"/>
      <c r="AI263" s="129"/>
      <c r="AJ263" s="129"/>
      <c r="AK263" s="129"/>
      <c r="AL263" s="129"/>
      <c r="AM263" s="129"/>
      <c r="AN263" s="129"/>
      <c r="AO263" s="129"/>
      <c r="AP263" s="129"/>
      <c r="AQ263" s="129"/>
      <c r="AR263" s="129"/>
      <c r="AS263" s="129"/>
      <c r="AT263" s="129"/>
      <c r="AU263" s="129"/>
      <c r="AV263" s="129"/>
      <c r="AW263" s="129"/>
    </row>
    <row r="264" spans="1:49" ht="15.75" customHeight="1">
      <c r="A264" s="129"/>
      <c r="B264" s="129"/>
      <c r="C264" s="220"/>
      <c r="D264" s="1176" t="s">
        <v>2715</v>
      </c>
      <c r="E264" s="1176"/>
      <c r="F264" s="1177"/>
      <c r="G264" s="693" t="s">
        <v>2525</v>
      </c>
      <c r="H264" s="225"/>
      <c r="I264" s="225"/>
      <c r="J264" s="225"/>
      <c r="K264" s="225"/>
      <c r="L264" s="225"/>
      <c r="M264" s="225"/>
      <c r="N264" s="225"/>
      <c r="O264" s="223"/>
      <c r="P264" s="432"/>
      <c r="Q264" s="129"/>
      <c r="R264" s="129"/>
      <c r="S264" s="129"/>
      <c r="T264" s="129"/>
      <c r="U264" s="129"/>
      <c r="V264" s="129"/>
      <c r="W264" s="129"/>
      <c r="X264" s="129"/>
      <c r="Y264" s="129"/>
      <c r="Z264" s="129"/>
      <c r="AA264" s="129"/>
      <c r="AB264" s="129"/>
      <c r="AC264" s="129"/>
      <c r="AD264" s="129"/>
      <c r="AE264" s="129"/>
      <c r="AF264" s="129"/>
      <c r="AG264" s="129"/>
      <c r="AH264" s="129"/>
      <c r="AI264" s="129"/>
      <c r="AJ264" s="129"/>
      <c r="AK264" s="129"/>
      <c r="AL264" s="129"/>
      <c r="AM264" s="129"/>
      <c r="AN264" s="129"/>
      <c r="AO264" s="129"/>
      <c r="AP264" s="129"/>
      <c r="AQ264" s="129"/>
      <c r="AR264" s="129"/>
      <c r="AS264" s="129"/>
      <c r="AT264" s="129"/>
      <c r="AU264" s="129"/>
      <c r="AV264" s="129"/>
      <c r="AW264" s="129"/>
    </row>
    <row r="265" spans="1:49" ht="15.75" hidden="1" customHeight="1">
      <c r="A265" s="129"/>
      <c r="B265" s="129"/>
      <c r="C265" s="220"/>
      <c r="D265" s="1196" t="s">
        <v>2714</v>
      </c>
      <c r="E265" s="1176"/>
      <c r="F265" s="1177"/>
      <c r="G265" s="693" t="s">
        <v>2340</v>
      </c>
      <c r="H265" s="225"/>
      <c r="I265" s="350"/>
      <c r="J265" s="225"/>
      <c r="K265" s="225"/>
      <c r="L265" s="225"/>
      <c r="M265" s="225"/>
      <c r="N265" s="225"/>
      <c r="O265" s="223"/>
      <c r="P265" s="432"/>
      <c r="Q265" s="129"/>
      <c r="R265" s="129"/>
      <c r="S265" s="129"/>
      <c r="T265" s="129"/>
      <c r="U265" s="129"/>
      <c r="V265" s="129"/>
      <c r="W265" s="129"/>
      <c r="X265" s="129"/>
      <c r="Y265" s="129"/>
      <c r="Z265" s="129"/>
      <c r="AA265" s="129"/>
      <c r="AB265" s="129"/>
      <c r="AC265" s="129"/>
      <c r="AD265" s="129"/>
      <c r="AE265" s="129"/>
      <c r="AF265" s="129"/>
      <c r="AG265" s="129"/>
      <c r="AH265" s="129"/>
      <c r="AI265" s="129"/>
      <c r="AJ265" s="129"/>
      <c r="AK265" s="129"/>
      <c r="AL265" s="129"/>
      <c r="AM265" s="129"/>
      <c r="AN265" s="129"/>
      <c r="AO265" s="129"/>
      <c r="AP265" s="129"/>
      <c r="AQ265" s="129"/>
      <c r="AR265" s="129"/>
      <c r="AS265" s="129"/>
      <c r="AT265" s="129"/>
      <c r="AU265" s="129"/>
      <c r="AV265" s="129"/>
      <c r="AW265" s="129"/>
    </row>
    <row r="266" spans="1:49" ht="15.75" customHeight="1">
      <c r="A266" s="129"/>
      <c r="B266" s="129"/>
      <c r="C266" s="220"/>
      <c r="D266" s="225"/>
      <c r="E266" s="147"/>
      <c r="F266" s="691" t="s">
        <v>2720</v>
      </c>
      <c r="G266" s="240">
        <f>F893</f>
        <v>0.04</v>
      </c>
      <c r="H266" s="350" t="s">
        <v>2721</v>
      </c>
      <c r="I266" s="225"/>
      <c r="J266" s="225"/>
      <c r="K266" s="225"/>
      <c r="L266" s="225"/>
      <c r="M266" s="225"/>
      <c r="N266" s="225"/>
      <c r="O266" s="223"/>
      <c r="P266" s="432"/>
      <c r="Q266" s="129"/>
      <c r="R266" s="129"/>
      <c r="S266" s="129"/>
      <c r="T266" s="129"/>
      <c r="U266" s="129"/>
      <c r="V266" s="129"/>
      <c r="W266" s="129"/>
      <c r="X266" s="129"/>
      <c r="Y266" s="129"/>
      <c r="Z266" s="129"/>
      <c r="AA266" s="129"/>
      <c r="AB266" s="129"/>
      <c r="AC266" s="129"/>
      <c r="AD266" s="129"/>
      <c r="AE266" s="129"/>
      <c r="AF266" s="129"/>
      <c r="AG266" s="129"/>
      <c r="AH266" s="129"/>
      <c r="AI266" s="129"/>
      <c r="AJ266" s="129"/>
      <c r="AK266" s="129"/>
      <c r="AL266" s="129"/>
      <c r="AM266" s="129"/>
      <c r="AN266" s="129"/>
      <c r="AO266" s="129"/>
      <c r="AP266" s="129"/>
      <c r="AQ266" s="129"/>
      <c r="AR266" s="129"/>
      <c r="AS266" s="129"/>
      <c r="AT266" s="129"/>
      <c r="AU266" s="129"/>
      <c r="AV266" s="129"/>
      <c r="AW266" s="129"/>
    </row>
    <row r="267" spans="1:49" ht="15.75" customHeight="1">
      <c r="A267" s="129"/>
      <c r="B267" s="129"/>
      <c r="C267" s="220"/>
      <c r="D267" s="225"/>
      <c r="E267" s="147"/>
      <c r="F267" s="691" t="s">
        <v>2734</v>
      </c>
      <c r="G267" s="705">
        <f>G266*H65</f>
        <v>84</v>
      </c>
      <c r="H267" s="147" t="s">
        <v>2719</v>
      </c>
      <c r="I267" s="225"/>
      <c r="J267" s="225"/>
      <c r="K267" s="225"/>
      <c r="L267" s="225"/>
      <c r="M267" s="225"/>
      <c r="N267" s="225"/>
      <c r="O267" s="223"/>
      <c r="P267" s="432"/>
      <c r="Q267" s="129"/>
      <c r="R267" s="129"/>
      <c r="S267" s="129"/>
      <c r="T267" s="129"/>
      <c r="U267" s="129"/>
      <c r="V267" s="129"/>
      <c r="W267" s="129"/>
      <c r="X267" s="129"/>
      <c r="Y267" s="129"/>
      <c r="Z267" s="129"/>
      <c r="AA267" s="129"/>
      <c r="AB267" s="129"/>
      <c r="AC267" s="129"/>
      <c r="AD267" s="129"/>
      <c r="AE267" s="129"/>
      <c r="AF267" s="129"/>
      <c r="AG267" s="129"/>
      <c r="AH267" s="129"/>
      <c r="AI267" s="129"/>
      <c r="AJ267" s="129"/>
      <c r="AK267" s="129"/>
      <c r="AL267" s="129"/>
      <c r="AM267" s="129"/>
      <c r="AN267" s="129"/>
      <c r="AO267" s="129"/>
      <c r="AP267" s="129"/>
      <c r="AQ267" s="129"/>
      <c r="AR267" s="129"/>
      <c r="AS267" s="129"/>
      <c r="AT267" s="129"/>
      <c r="AU267" s="129"/>
      <c r="AV267" s="129"/>
      <c r="AW267" s="129"/>
    </row>
    <row r="268" spans="1:49" ht="20.25" customHeight="1">
      <c r="A268" s="129"/>
      <c r="B268" s="129"/>
      <c r="C268" s="266"/>
      <c r="D268" s="706" t="str">
        <f>IF(G254=MenuItem_ConditionedSpace,"A maximum of 10 feet of return ducts and 5 feet of supply ducts are allowed to be located outside of the building thermal envelope, if insulated and sealed per R403.3.7.","")</f>
        <v/>
      </c>
      <c r="E268" s="137"/>
      <c r="F268" s="137"/>
      <c r="G268" s="137"/>
      <c r="H268" s="137"/>
      <c r="I268" s="137"/>
      <c r="J268" s="137"/>
      <c r="K268" s="137"/>
      <c r="L268" s="137"/>
      <c r="M268" s="137"/>
      <c r="N268" s="137"/>
      <c r="O268" s="237"/>
      <c r="P268" s="432"/>
      <c r="Q268" s="129"/>
      <c r="R268" s="129"/>
      <c r="S268" s="129"/>
      <c r="T268" s="129"/>
      <c r="U268" s="129"/>
      <c r="V268" s="129"/>
      <c r="W268" s="129"/>
      <c r="X268" s="129"/>
      <c r="Y268" s="129"/>
      <c r="Z268" s="129"/>
      <c r="AA268" s="129"/>
      <c r="AB268" s="129"/>
      <c r="AC268" s="129"/>
      <c r="AD268" s="129"/>
      <c r="AE268" s="129"/>
      <c r="AF268" s="129"/>
      <c r="AG268" s="129"/>
      <c r="AH268" s="129"/>
      <c r="AI268" s="129"/>
      <c r="AJ268" s="129"/>
      <c r="AK268" s="129"/>
      <c r="AL268" s="129"/>
      <c r="AM268" s="129"/>
      <c r="AN268" s="129"/>
      <c r="AO268" s="129"/>
      <c r="AP268" s="129"/>
      <c r="AQ268" s="129"/>
      <c r="AR268" s="129"/>
      <c r="AS268" s="129"/>
      <c r="AT268" s="129"/>
      <c r="AU268" s="129"/>
      <c r="AV268" s="129"/>
      <c r="AW268" s="129"/>
    </row>
    <row r="269" spans="1:49" ht="15.75" customHeight="1">
      <c r="A269" s="129"/>
      <c r="B269" s="129"/>
      <c r="C269" s="129"/>
      <c r="D269" s="129"/>
      <c r="E269" s="129"/>
      <c r="F269" s="142"/>
      <c r="G269" s="129"/>
      <c r="H269" s="129"/>
      <c r="I269" s="129"/>
      <c r="J269" s="129"/>
      <c r="K269" s="129"/>
      <c r="L269" s="129"/>
      <c r="M269" s="129"/>
      <c r="N269" s="129"/>
      <c r="O269" s="129"/>
      <c r="P269" s="432"/>
      <c r="Q269" s="129"/>
      <c r="R269" s="129"/>
      <c r="S269" s="129"/>
      <c r="T269" s="129"/>
      <c r="U269" s="129"/>
      <c r="V269" s="129"/>
      <c r="W269" s="129"/>
      <c r="X269" s="129"/>
      <c r="Y269" s="129"/>
      <c r="Z269" s="129"/>
      <c r="AA269" s="129"/>
      <c r="AB269" s="129"/>
      <c r="AC269" s="129"/>
      <c r="AD269" s="129"/>
      <c r="AE269" s="129"/>
      <c r="AF269" s="129"/>
      <c r="AG269" s="129"/>
      <c r="AH269" s="129"/>
      <c r="AI269" s="129"/>
      <c r="AJ269" s="129"/>
      <c r="AK269" s="129"/>
      <c r="AL269" s="129"/>
      <c r="AM269" s="129"/>
      <c r="AN269" s="129"/>
      <c r="AO269" s="129"/>
      <c r="AP269" s="129"/>
      <c r="AQ269" s="129"/>
      <c r="AR269" s="129"/>
      <c r="AS269" s="129"/>
      <c r="AT269" s="129"/>
      <c r="AU269" s="129"/>
      <c r="AV269" s="129"/>
      <c r="AW269" s="129"/>
    </row>
    <row r="270" spans="1:49" ht="15.75" customHeight="1">
      <c r="A270" s="129"/>
      <c r="B270" s="1193" t="s">
        <v>2588</v>
      </c>
      <c r="C270" s="1194"/>
      <c r="D270" s="1194"/>
      <c r="E270" s="1195"/>
      <c r="F270" s="621" t="s">
        <v>2065</v>
      </c>
      <c r="G270" s="622"/>
      <c r="H270" s="623"/>
      <c r="I270" s="623"/>
      <c r="J270" s="623"/>
      <c r="K270" s="623"/>
      <c r="L270" s="623"/>
      <c r="M270" s="623"/>
      <c r="N270" s="623"/>
      <c r="O270" s="624"/>
      <c r="P270" s="432"/>
      <c r="Q270" s="129"/>
      <c r="R270" s="129"/>
      <c r="S270" s="129"/>
      <c r="T270" s="129"/>
      <c r="U270" s="129"/>
      <c r="V270" s="129"/>
      <c r="W270" s="129"/>
      <c r="X270" s="129"/>
      <c r="Y270" s="129"/>
      <c r="Z270" s="129"/>
      <c r="AA270" s="129"/>
      <c r="AB270" s="129"/>
      <c r="AC270" s="129"/>
      <c r="AD270" s="129"/>
      <c r="AE270" s="129"/>
      <c r="AF270" s="129"/>
      <c r="AG270" s="129"/>
      <c r="AH270" s="129"/>
      <c r="AI270" s="129"/>
      <c r="AJ270" s="129"/>
      <c r="AK270" s="129"/>
      <c r="AL270" s="129"/>
      <c r="AM270" s="129"/>
      <c r="AN270" s="129"/>
      <c r="AO270" s="129"/>
      <c r="AP270" s="129"/>
      <c r="AQ270" s="129"/>
      <c r="AR270" s="129"/>
      <c r="AS270" s="129"/>
      <c r="AT270" s="129"/>
      <c r="AU270" s="129"/>
      <c r="AV270" s="129"/>
      <c r="AW270" s="129"/>
    </row>
    <row r="271" spans="1:49" ht="20.100000000000001" customHeight="1">
      <c r="A271" s="588"/>
      <c r="B271" s="253"/>
      <c r="C271" s="525" t="s">
        <v>2589</v>
      </c>
      <c r="D271" s="254"/>
      <c r="E271" s="254"/>
      <c r="F271" s="322"/>
      <c r="G271" s="276"/>
      <c r="H271" s="277" t="s">
        <v>2786</v>
      </c>
      <c r="I271" s="1139" t="s">
        <v>2294</v>
      </c>
      <c r="J271" s="1139"/>
      <c r="K271" s="1139"/>
      <c r="L271" s="1139"/>
      <c r="M271" s="1139"/>
      <c r="N271" s="1139"/>
      <c r="O271" s="1140"/>
      <c r="P271" s="432"/>
      <c r="Q271" s="129"/>
      <c r="R271" s="344"/>
      <c r="S271" s="325" t="s">
        <v>2590</v>
      </c>
      <c r="T271" s="345"/>
      <c r="U271" s="347"/>
      <c r="V271" s="346"/>
      <c r="W271" s="346"/>
      <c r="X271" s="346"/>
      <c r="Y271" s="346"/>
      <c r="Z271" s="346"/>
      <c r="AA271" s="346"/>
      <c r="AB271" s="346"/>
      <c r="AC271" s="346"/>
      <c r="AD271" s="348"/>
      <c r="AE271" s="146"/>
      <c r="AF271" s="146"/>
      <c r="AG271" s="146"/>
      <c r="AH271" s="146"/>
      <c r="AI271" s="146"/>
      <c r="AJ271" s="146"/>
      <c r="AK271" s="129"/>
      <c r="AL271" s="129"/>
      <c r="AM271" s="129"/>
      <c r="AN271" s="129"/>
      <c r="AO271" s="129"/>
      <c r="AP271" s="129"/>
      <c r="AQ271" s="129"/>
      <c r="AR271" s="129"/>
      <c r="AS271" s="129"/>
      <c r="AT271" s="129"/>
      <c r="AU271" s="129"/>
      <c r="AV271" s="129"/>
      <c r="AW271" s="129"/>
    </row>
    <row r="272" spans="1:49" ht="15" customHeight="1">
      <c r="A272" s="129"/>
      <c r="B272" s="129"/>
      <c r="C272" s="220"/>
      <c r="D272" s="225"/>
      <c r="E272" s="147" t="s">
        <v>2169</v>
      </c>
      <c r="F272" s="1213" t="s">
        <v>309</v>
      </c>
      <c r="G272" s="1213"/>
      <c r="H272" s="1213"/>
      <c r="I272" s="1213"/>
      <c r="J272" s="810" t="str">
        <f>IF(OR(F274="",F275=""),"ERROR: Select a weather site near your location from drop down","")</f>
        <v/>
      </c>
      <c r="K272" s="225"/>
      <c r="L272" s="225"/>
      <c r="M272" s="225"/>
      <c r="N272" s="225"/>
      <c r="O272" s="223"/>
      <c r="P272" s="432"/>
      <c r="Q272" s="129"/>
      <c r="R272" s="216"/>
      <c r="S272" s="238"/>
      <c r="T272" s="217" t="s">
        <v>2169</v>
      </c>
      <c r="U272" s="238" t="str">
        <f>IF(F272="","",F272)</f>
        <v>Vancouver</v>
      </c>
      <c r="V272" s="238"/>
      <c r="W272" s="238"/>
      <c r="X272" s="238"/>
      <c r="Y272" s="238"/>
      <c r="Z272" s="238"/>
      <c r="AA272" s="238"/>
      <c r="AB272" s="238"/>
      <c r="AC272" s="238"/>
      <c r="AD272" s="219"/>
      <c r="AE272" s="146"/>
      <c r="AF272" s="146"/>
      <c r="AG272" s="146"/>
      <c r="AH272" s="146"/>
      <c r="AI272" s="129"/>
      <c r="AJ272" s="129"/>
      <c r="AK272" s="129"/>
      <c r="AL272" s="129"/>
      <c r="AM272" s="129"/>
      <c r="AN272" s="129"/>
      <c r="AO272" s="129"/>
      <c r="AP272" s="129"/>
      <c r="AQ272" s="129"/>
      <c r="AR272" s="129"/>
      <c r="AS272" s="129"/>
      <c r="AT272" s="129"/>
      <c r="AU272" s="129"/>
      <c r="AV272" s="129"/>
      <c r="AW272" s="129"/>
    </row>
    <row r="273" spans="1:49" ht="15.75" customHeight="1">
      <c r="A273" s="129"/>
      <c r="B273" s="129"/>
      <c r="C273" s="220"/>
      <c r="D273" s="225"/>
      <c r="E273" s="349" t="s">
        <v>2137</v>
      </c>
      <c r="F273" s="356">
        <v>70</v>
      </c>
      <c r="G273" s="357" t="s">
        <v>1345</v>
      </c>
      <c r="H273" s="358"/>
      <c r="I273" s="225"/>
      <c r="J273" s="225"/>
      <c r="K273" s="225"/>
      <c r="L273" s="225"/>
      <c r="M273" s="225"/>
      <c r="N273" s="225"/>
      <c r="O273" s="223"/>
      <c r="P273" s="432"/>
      <c r="Q273" s="129"/>
      <c r="R273" s="220"/>
      <c r="S273" s="225"/>
      <c r="T273" s="349" t="s">
        <v>2137</v>
      </c>
      <c r="U273" s="356">
        <v>70</v>
      </c>
      <c r="V273" s="357" t="s">
        <v>1345</v>
      </c>
      <c r="W273" s="358"/>
      <c r="X273" s="225"/>
      <c r="Y273" s="225"/>
      <c r="Z273" s="225"/>
      <c r="AA273" s="225"/>
      <c r="AB273" s="225"/>
      <c r="AC273" s="225"/>
      <c r="AD273" s="223"/>
      <c r="AE273" s="146"/>
      <c r="AF273" s="146"/>
      <c r="AG273" s="146"/>
      <c r="AH273" s="146"/>
      <c r="AI273" s="129"/>
      <c r="AJ273" s="129"/>
      <c r="AK273" s="129"/>
      <c r="AL273" s="129"/>
      <c r="AM273" s="129"/>
      <c r="AN273" s="129"/>
      <c r="AO273" s="129"/>
      <c r="AP273" s="129"/>
      <c r="AQ273" s="129"/>
      <c r="AR273" s="129"/>
      <c r="AS273" s="129"/>
      <c r="AT273" s="129"/>
      <c r="AU273" s="129"/>
      <c r="AV273" s="129"/>
      <c r="AW273" s="129"/>
    </row>
    <row r="274" spans="1:49" ht="15.75" customHeight="1">
      <c r="A274" s="129"/>
      <c r="B274" s="129"/>
      <c r="C274" s="220"/>
      <c r="D274" s="225"/>
      <c r="E274" s="349" t="s">
        <v>2138</v>
      </c>
      <c r="F274" s="356">
        <f>IFERROR(VLOOKUP(F272,Table_Weather,2,FALSE),"")</f>
        <v>22</v>
      </c>
      <c r="G274" s="357" t="s">
        <v>1345</v>
      </c>
      <c r="H274" s="358"/>
      <c r="I274" s="225"/>
      <c r="J274" s="225"/>
      <c r="K274" s="225"/>
      <c r="L274" s="225"/>
      <c r="M274" s="225"/>
      <c r="N274" s="225"/>
      <c r="O274" s="223"/>
      <c r="P274" s="432"/>
      <c r="Q274" s="129"/>
      <c r="R274" s="220"/>
      <c r="S274" s="225"/>
      <c r="T274" s="349" t="s">
        <v>2138</v>
      </c>
      <c r="U274" s="356">
        <f>IFERROR(VLOOKUP(F272,Table_Weather,2,FALSE),"")</f>
        <v>22</v>
      </c>
      <c r="V274" s="357" t="s">
        <v>1345</v>
      </c>
      <c r="W274" s="358"/>
      <c r="X274" s="225"/>
      <c r="Y274" s="225"/>
      <c r="Z274" s="225"/>
      <c r="AA274" s="225"/>
      <c r="AB274" s="225"/>
      <c r="AC274" s="225"/>
      <c r="AD274" s="223"/>
      <c r="AE274" s="146"/>
      <c r="AF274" s="146"/>
      <c r="AG274" s="146"/>
      <c r="AH274" s="146"/>
      <c r="AI274" s="129"/>
      <c r="AJ274" s="129"/>
      <c r="AK274" s="129"/>
      <c r="AL274" s="129"/>
      <c r="AM274" s="129"/>
      <c r="AN274" s="129"/>
      <c r="AO274" s="129"/>
      <c r="AP274" s="129"/>
      <c r="AQ274" s="129"/>
      <c r="AR274" s="129"/>
      <c r="AS274" s="129"/>
      <c r="AT274" s="129"/>
      <c r="AU274" s="129"/>
      <c r="AV274" s="129"/>
      <c r="AW274" s="129"/>
    </row>
    <row r="275" spans="1:49" ht="15.75" customHeight="1">
      <c r="A275" s="129"/>
      <c r="B275" s="129"/>
      <c r="C275" s="220"/>
      <c r="D275" s="225"/>
      <c r="E275" s="349" t="s">
        <v>2161</v>
      </c>
      <c r="F275" s="356">
        <f>IFERROR(F273-F274,"")</f>
        <v>48</v>
      </c>
      <c r="G275" s="357" t="s">
        <v>1345</v>
      </c>
      <c r="H275" s="225"/>
      <c r="I275" s="225"/>
      <c r="J275" s="225"/>
      <c r="K275" s="225"/>
      <c r="L275" s="225"/>
      <c r="M275" s="225"/>
      <c r="N275" s="225"/>
      <c r="O275" s="223"/>
      <c r="P275" s="432"/>
      <c r="Q275" s="129"/>
      <c r="R275" s="220"/>
      <c r="S275" s="225"/>
      <c r="T275" s="349" t="s">
        <v>2161</v>
      </c>
      <c r="U275" s="356">
        <f>IFERROR(U273-U274,"")</f>
        <v>48</v>
      </c>
      <c r="V275" s="357" t="s">
        <v>1345</v>
      </c>
      <c r="W275" s="225"/>
      <c r="X275" s="225"/>
      <c r="Y275" s="225"/>
      <c r="Z275" s="225"/>
      <c r="AA275" s="225"/>
      <c r="AB275" s="225"/>
      <c r="AC275" s="225"/>
      <c r="AD275" s="223"/>
      <c r="AE275" s="146"/>
      <c r="AF275" s="146"/>
      <c r="AG275" s="146"/>
      <c r="AH275" s="146"/>
      <c r="AI275" s="129"/>
      <c r="AJ275" s="129"/>
      <c r="AK275" s="129"/>
      <c r="AL275" s="129"/>
      <c r="AM275" s="129"/>
      <c r="AN275" s="129"/>
      <c r="AO275" s="129"/>
      <c r="AP275" s="129"/>
      <c r="AQ275" s="129"/>
      <c r="AR275" s="129"/>
      <c r="AS275" s="129"/>
      <c r="AT275" s="129"/>
      <c r="AU275" s="129"/>
      <c r="AV275" s="129"/>
      <c r="AW275" s="129"/>
    </row>
    <row r="276" spans="1:49" ht="15.75" customHeight="1">
      <c r="A276" s="129"/>
      <c r="B276" s="129"/>
      <c r="C276" s="220"/>
      <c r="D276" s="225"/>
      <c r="E276" s="147"/>
      <c r="F276" s="225"/>
      <c r="G276" s="225"/>
      <c r="H276" s="225"/>
      <c r="I276" s="225"/>
      <c r="J276" s="225"/>
      <c r="K276" s="225"/>
      <c r="L276" s="225"/>
      <c r="M276" s="225"/>
      <c r="N276" s="225"/>
      <c r="O276" s="223"/>
      <c r="P276" s="432"/>
      <c r="Q276" s="129"/>
      <c r="R276" s="220"/>
      <c r="S276" s="225"/>
      <c r="T276" s="147"/>
      <c r="U276" s="225"/>
      <c r="V276" s="225"/>
      <c r="W276" s="225"/>
      <c r="X276" s="225"/>
      <c r="Y276" s="225"/>
      <c r="Z276" s="225"/>
      <c r="AA276" s="225"/>
      <c r="AB276" s="225"/>
      <c r="AC276" s="225"/>
      <c r="AD276" s="223"/>
      <c r="AE276" s="146"/>
      <c r="AF276" s="129"/>
      <c r="AG276" s="129"/>
      <c r="AH276" s="129"/>
      <c r="AI276" s="129"/>
      <c r="AJ276" s="129"/>
      <c r="AK276" s="129"/>
      <c r="AL276" s="129"/>
      <c r="AM276" s="129"/>
      <c r="AN276" s="129"/>
      <c r="AO276" s="129"/>
      <c r="AP276" s="129"/>
      <c r="AQ276" s="129"/>
      <c r="AR276" s="129"/>
      <c r="AS276" s="129"/>
      <c r="AT276" s="129"/>
      <c r="AU276" s="129"/>
      <c r="AV276" s="129"/>
      <c r="AW276" s="129"/>
    </row>
    <row r="277" spans="1:49" ht="15.75" customHeight="1">
      <c r="A277" s="129"/>
      <c r="B277" s="129"/>
      <c r="C277" s="220"/>
      <c r="D277" s="225"/>
      <c r="E277" s="147" t="str">
        <f>G65</f>
        <v>Conditioned Floor Area, Proposed Design</v>
      </c>
      <c r="F277" s="359">
        <f>H65</f>
        <v>2100</v>
      </c>
      <c r="G277" s="350" t="s">
        <v>2150</v>
      </c>
      <c r="H277" s="225"/>
      <c r="I277" s="225"/>
      <c r="J277" s="225"/>
      <c r="K277" s="225"/>
      <c r="L277" s="225"/>
      <c r="M277" s="225"/>
      <c r="N277" s="225"/>
      <c r="O277" s="223"/>
      <c r="P277" s="432"/>
      <c r="Q277" s="129"/>
      <c r="R277" s="220"/>
      <c r="S277" s="225"/>
      <c r="T277" s="147" t="s">
        <v>1353</v>
      </c>
      <c r="U277" s="359">
        <f>U65</f>
        <v>2216</v>
      </c>
      <c r="V277" s="350" t="s">
        <v>2150</v>
      </c>
      <c r="W277" s="225"/>
      <c r="X277" s="225"/>
      <c r="Y277" s="225"/>
      <c r="Z277" s="225"/>
      <c r="AA277" s="225"/>
      <c r="AB277" s="225"/>
      <c r="AC277" s="225"/>
      <c r="AD277" s="223"/>
      <c r="AE277" s="146"/>
      <c r="AF277" s="129"/>
      <c r="AG277" s="129"/>
      <c r="AH277" s="129"/>
      <c r="AI277" s="129"/>
      <c r="AJ277" s="129"/>
      <c r="AK277" s="129"/>
      <c r="AL277" s="129"/>
      <c r="AM277" s="129"/>
      <c r="AN277" s="129"/>
      <c r="AO277" s="129"/>
      <c r="AP277" s="129"/>
      <c r="AQ277" s="129"/>
      <c r="AR277" s="129"/>
      <c r="AS277" s="129"/>
      <c r="AT277" s="129"/>
      <c r="AU277" s="129"/>
      <c r="AV277" s="129"/>
      <c r="AW277" s="129"/>
    </row>
    <row r="278" spans="1:49" ht="15.75" customHeight="1">
      <c r="A278" s="129"/>
      <c r="B278" s="129"/>
      <c r="C278" s="220"/>
      <c r="D278" s="225"/>
      <c r="E278" s="147" t="s">
        <v>2149</v>
      </c>
      <c r="F278" s="770"/>
      <c r="G278" s="350" t="s">
        <v>2151</v>
      </c>
      <c r="H278" s="829" t="str">
        <f>IFERROR(IF(F280&gt;10,CONCATENATE("Ave ceiling = ",ROUND(F280,1)," ft. Check: Higher than expected conditioned volume"),IF(OR(F278=0,F278=""),CONCATENATE("Volume assuming ceiling height of 8.5 ft  = ",F277*8.5," ft3"),CONCATENATE("Average ceiling height =", ROUND(F280,1)," ft. Volume = ",ROUND($F663,0), " ft3"))),"Input Error")</f>
        <v>Volume assuming ceiling height of 8.5 ft  = 17850 ft3</v>
      </c>
      <c r="I278" s="225"/>
      <c r="J278" s="225"/>
      <c r="K278" s="225"/>
      <c r="L278" s="225"/>
      <c r="M278" s="225"/>
      <c r="N278" s="225"/>
      <c r="O278" s="612" t="str">
        <f>IFERROR(IF(P278=1,"Volume smaller than expected",""), "Error")</f>
        <v/>
      </c>
      <c r="P278" s="830">
        <f>IF(AND(F278&lt;&gt;" ",F278&lt;&gt;""),IF(F663/F277&lt;7,1,0),0)</f>
        <v>0</v>
      </c>
      <c r="Q278" s="129"/>
      <c r="R278" s="220"/>
      <c r="S278" s="225"/>
      <c r="T278" s="147" t="s">
        <v>2149</v>
      </c>
      <c r="U278" s="74"/>
      <c r="V278" s="350" t="s">
        <v>2151</v>
      </c>
      <c r="W278" s="829" t="str">
        <f>IFERROR(IF(U280&gt;10,CONCATENATE("Ave ceiling = ",ROUND(U280,1)," ft. Check: Higher than expected conditioned volume"),IF(OR(U278=0,U278=""),CONCATENATE("Volume assuming ceiling height of 8.5 ft  = ",U277*8.5," ft3"),CONCATENATE("Average ceiling height =", ROUND(U280,1)," ft. Volume = ",ROUND($F664,0), " ft3"))),"Input Error")</f>
        <v>Volume assuming ceiling height of 8.5 ft  = 18836 ft3</v>
      </c>
      <c r="X278" s="225"/>
      <c r="Y278" s="225"/>
      <c r="Z278" s="225"/>
      <c r="AA278" s="225"/>
      <c r="AB278" s="225"/>
      <c r="AC278" s="225"/>
      <c r="AD278" s="223"/>
      <c r="AE278" s="146"/>
      <c r="AF278" s="129"/>
      <c r="AG278" s="129"/>
      <c r="AH278" s="129"/>
      <c r="AI278" s="129"/>
      <c r="AJ278" s="129"/>
      <c r="AK278" s="129"/>
      <c r="AL278" s="129"/>
      <c r="AM278" s="129"/>
      <c r="AN278" s="129"/>
      <c r="AO278" s="129"/>
      <c r="AP278" s="129"/>
      <c r="AQ278" s="129"/>
      <c r="AR278" s="129"/>
      <c r="AS278" s="129"/>
      <c r="AT278" s="129"/>
      <c r="AU278" s="129"/>
      <c r="AV278" s="129"/>
      <c r="AW278" s="129"/>
    </row>
    <row r="279" spans="1:49" ht="15.75" customHeight="1">
      <c r="A279" s="129"/>
      <c r="B279" s="129"/>
      <c r="C279" s="220"/>
      <c r="D279" s="225"/>
      <c r="E279" s="613" t="s">
        <v>2568</v>
      </c>
      <c r="F279" s="225"/>
      <c r="G279" s="350"/>
      <c r="H279" s="829"/>
      <c r="I279" s="225"/>
      <c r="J279" s="225"/>
      <c r="K279" s="225"/>
      <c r="L279" s="225"/>
      <c r="M279" s="225"/>
      <c r="N279" s="225"/>
      <c r="O279" s="612"/>
      <c r="P279" s="830"/>
      <c r="Q279" s="129"/>
      <c r="R279" s="220"/>
      <c r="S279" s="225"/>
      <c r="T279" s="613" t="s">
        <v>2568</v>
      </c>
      <c r="U279" s="350"/>
      <c r="V279" s="350"/>
      <c r="W279" s="362"/>
      <c r="X279" s="225"/>
      <c r="Y279" s="225"/>
      <c r="Z279" s="225"/>
      <c r="AA279" s="225"/>
      <c r="AB279" s="225"/>
      <c r="AC279" s="225"/>
      <c r="AD279" s="223"/>
      <c r="AE279" s="146"/>
      <c r="AF279" s="129"/>
      <c r="AG279" s="129"/>
      <c r="AH279" s="129"/>
      <c r="AI279" s="129"/>
      <c r="AJ279" s="129"/>
      <c r="AK279" s="129"/>
      <c r="AL279" s="129"/>
      <c r="AM279" s="129"/>
      <c r="AN279" s="129"/>
      <c r="AO279" s="129"/>
      <c r="AP279" s="129"/>
      <c r="AQ279" s="129"/>
      <c r="AR279" s="129"/>
      <c r="AS279" s="129"/>
      <c r="AT279" s="129"/>
      <c r="AU279" s="129"/>
      <c r="AV279" s="129"/>
      <c r="AW279" s="129"/>
    </row>
    <row r="280" spans="1:49" ht="15.75" customHeight="1">
      <c r="A280" s="129"/>
      <c r="B280" s="129"/>
      <c r="C280" s="220"/>
      <c r="D280" s="225"/>
      <c r="E280" s="147" t="s">
        <v>3198</v>
      </c>
      <c r="F280" s="704">
        <f>IFERROR(IF(OR(F278="",F277=0),8.5,F278/F277),8.5)</f>
        <v>8.5</v>
      </c>
      <c r="G280" s="350" t="s">
        <v>3199</v>
      </c>
      <c r="H280" s="829"/>
      <c r="I280" s="225"/>
      <c r="J280" s="225"/>
      <c r="K280" s="225"/>
      <c r="L280" s="225"/>
      <c r="M280" s="225"/>
      <c r="N280" s="225"/>
      <c r="O280" s="612"/>
      <c r="P280" s="830"/>
      <c r="Q280" s="129"/>
      <c r="R280" s="220"/>
      <c r="S280" s="225"/>
      <c r="T280" s="147" t="s">
        <v>3198</v>
      </c>
      <c r="U280" s="704">
        <f>IFERROR(IF(OR(U278="",U277=0),8.5,U278/U277),8.5)</f>
        <v>8.5</v>
      </c>
      <c r="V280" s="350" t="s">
        <v>3199</v>
      </c>
      <c r="W280" s="362"/>
      <c r="X280" s="225"/>
      <c r="Y280" s="225"/>
      <c r="Z280" s="225"/>
      <c r="AA280" s="225"/>
      <c r="AB280" s="225"/>
      <c r="AC280" s="225"/>
      <c r="AD280" s="223"/>
      <c r="AE280" s="146"/>
      <c r="AF280" s="129"/>
      <c r="AG280" s="129"/>
      <c r="AH280" s="129"/>
      <c r="AI280" s="129"/>
      <c r="AJ280" s="129"/>
      <c r="AK280" s="129"/>
      <c r="AL280" s="129"/>
      <c r="AM280" s="129"/>
      <c r="AN280" s="129"/>
      <c r="AO280" s="129"/>
      <c r="AP280" s="129"/>
      <c r="AQ280" s="129"/>
      <c r="AR280" s="129"/>
      <c r="AS280" s="129"/>
      <c r="AT280" s="129"/>
      <c r="AU280" s="129"/>
      <c r="AV280" s="129"/>
      <c r="AW280" s="129"/>
    </row>
    <row r="281" spans="1:49" ht="15.75" customHeight="1">
      <c r="A281" s="129"/>
      <c r="B281" s="129"/>
      <c r="C281" s="220"/>
      <c r="D281" s="225"/>
      <c r="E281" s="147"/>
      <c r="F281" s="704"/>
      <c r="G281" s="350"/>
      <c r="H281" s="829"/>
      <c r="I281" s="225"/>
      <c r="J281" s="225"/>
      <c r="K281" s="225"/>
      <c r="L281" s="225"/>
      <c r="M281" s="225"/>
      <c r="N281" s="225"/>
      <c r="O281" s="612"/>
      <c r="P281" s="830"/>
      <c r="Q281" s="129"/>
      <c r="R281" s="220"/>
      <c r="S281" s="225"/>
      <c r="T281" s="147"/>
      <c r="U281" s="704"/>
      <c r="V281" s="350"/>
      <c r="W281" s="362"/>
      <c r="X281" s="225"/>
      <c r="Y281" s="225"/>
      <c r="Z281" s="225"/>
      <c r="AA281" s="225"/>
      <c r="AB281" s="225"/>
      <c r="AC281" s="225"/>
      <c r="AD281" s="223"/>
      <c r="AE281" s="146"/>
      <c r="AF281" s="129"/>
      <c r="AG281" s="129"/>
      <c r="AH281" s="129"/>
      <c r="AI281" s="129"/>
      <c r="AJ281" s="129"/>
      <c r="AK281" s="129"/>
      <c r="AL281" s="129"/>
      <c r="AM281" s="129"/>
      <c r="AN281" s="129"/>
      <c r="AO281" s="129"/>
      <c r="AP281" s="129"/>
      <c r="AQ281" s="129"/>
      <c r="AR281" s="129"/>
      <c r="AS281" s="129"/>
      <c r="AT281" s="129"/>
      <c r="AU281" s="129"/>
      <c r="AV281" s="129"/>
      <c r="AW281" s="129"/>
    </row>
    <row r="282" spans="1:49" ht="15.75" customHeight="1">
      <c r="A282" s="129"/>
      <c r="B282" s="129"/>
      <c r="C282" s="220"/>
      <c r="D282" s="225"/>
      <c r="E282" s="147" t="s">
        <v>2736</v>
      </c>
      <c r="F282" s="1137" t="s">
        <v>2159</v>
      </c>
      <c r="G282" s="1137"/>
      <c r="H282" s="1137"/>
      <c r="I282" s="1137"/>
      <c r="J282" s="771"/>
      <c r="K282" s="225"/>
      <c r="L282" s="225"/>
      <c r="M282" s="225"/>
      <c r="N282" s="225"/>
      <c r="O282" s="223"/>
      <c r="P282" s="432"/>
      <c r="Q282" s="129"/>
      <c r="R282" s="220"/>
      <c r="S282" s="225"/>
      <c r="T282" s="147" t="s">
        <v>2156</v>
      </c>
      <c r="U282" s="1137" t="s">
        <v>2160</v>
      </c>
      <c r="V282" s="1137"/>
      <c r="W282" s="1137"/>
      <c r="X282" s="1137"/>
      <c r="Y282" s="225"/>
      <c r="Z282" s="225"/>
      <c r="AA282" s="225"/>
      <c r="AB282" s="225"/>
      <c r="AC282" s="225"/>
      <c r="AD282" s="223"/>
      <c r="AE282" s="146"/>
      <c r="AF282" s="129"/>
      <c r="AG282" s="129"/>
      <c r="AH282" s="129"/>
      <c r="AI282" s="140"/>
      <c r="AJ282" s="129"/>
      <c r="AK282" s="129"/>
      <c r="AL282" s="129"/>
      <c r="AM282" s="129"/>
      <c r="AN282" s="129"/>
      <c r="AO282" s="129"/>
      <c r="AP282" s="129"/>
      <c r="AQ282" s="129"/>
      <c r="AR282" s="129"/>
      <c r="AS282" s="129"/>
      <c r="AT282" s="129"/>
      <c r="AU282" s="129"/>
      <c r="AV282" s="129"/>
      <c r="AW282" s="129"/>
    </row>
    <row r="283" spans="1:49" ht="15.75" customHeight="1">
      <c r="A283" s="129"/>
      <c r="B283" s="129"/>
      <c r="C283" s="220"/>
      <c r="D283" s="225"/>
      <c r="E283" s="147" t="s">
        <v>2735</v>
      </c>
      <c r="F283" s="725" t="str">
        <f>G254</f>
        <v>Unconditioned Space</v>
      </c>
      <c r="G283" s="360"/>
      <c r="H283" s="360"/>
      <c r="I283" s="360"/>
      <c r="J283" s="225"/>
      <c r="K283" s="225"/>
      <c r="L283" s="225"/>
      <c r="M283" s="225"/>
      <c r="N283" s="225"/>
      <c r="O283" s="223"/>
      <c r="P283" s="432"/>
      <c r="Q283" s="129"/>
      <c r="R283" s="220"/>
      <c r="S283" s="225"/>
      <c r="T283" s="147" t="s">
        <v>2157</v>
      </c>
      <c r="U283" s="1137" t="s">
        <v>2155</v>
      </c>
      <c r="V283" s="1137"/>
      <c r="W283" s="1137"/>
      <c r="X283" s="1137"/>
      <c r="Y283" s="225"/>
      <c r="Z283" s="225"/>
      <c r="AA283" s="225"/>
      <c r="AB283" s="225"/>
      <c r="AC283" s="225"/>
      <c r="AD283" s="223"/>
      <c r="AE283" s="146"/>
      <c r="AF283" s="129"/>
      <c r="AG283" s="129"/>
      <c r="AH283" s="129"/>
      <c r="AI283" s="129"/>
      <c r="AJ283" s="129"/>
      <c r="AK283" s="129"/>
      <c r="AL283" s="129"/>
      <c r="AM283" s="129"/>
      <c r="AN283" s="129"/>
      <c r="AO283" s="129"/>
      <c r="AP283" s="129"/>
      <c r="AQ283" s="129"/>
      <c r="AR283" s="129"/>
      <c r="AS283" s="129"/>
      <c r="AT283" s="129"/>
      <c r="AU283" s="129"/>
      <c r="AV283" s="129"/>
      <c r="AW283" s="129"/>
    </row>
    <row r="284" spans="1:49" ht="15.75" customHeight="1">
      <c r="A284" s="129"/>
      <c r="B284" s="129"/>
      <c r="C284" s="220"/>
      <c r="D284" s="225"/>
      <c r="E284" s="350"/>
      <c r="F284" s="225"/>
      <c r="G284" s="225"/>
      <c r="H284" s="225"/>
      <c r="I284" s="225"/>
      <c r="J284" s="225"/>
      <c r="K284" s="225"/>
      <c r="L284" s="225"/>
      <c r="M284" s="225"/>
      <c r="N284" s="225"/>
      <c r="O284" s="223"/>
      <c r="P284" s="432"/>
      <c r="Q284" s="129"/>
      <c r="R284" s="220"/>
      <c r="S284" s="225"/>
      <c r="T284" s="350"/>
      <c r="U284" s="225"/>
      <c r="V284" s="225"/>
      <c r="W284" s="225"/>
      <c r="X284" s="225"/>
      <c r="Y284" s="225"/>
      <c r="Z284" s="225"/>
      <c r="AA284" s="225"/>
      <c r="AB284" s="225"/>
      <c r="AC284" s="225"/>
      <c r="AD284" s="223"/>
      <c r="AE284" s="146"/>
      <c r="AF284" s="129"/>
      <c r="AG284" s="129"/>
      <c r="AH284" s="129"/>
      <c r="AI284" s="129"/>
      <c r="AJ284" s="129"/>
      <c r="AK284" s="129"/>
      <c r="AL284" s="129"/>
      <c r="AM284" s="129"/>
      <c r="AN284" s="129"/>
      <c r="AO284" s="129"/>
      <c r="AP284" s="129"/>
      <c r="AQ284" s="129"/>
      <c r="AR284" s="129"/>
      <c r="AS284" s="129"/>
      <c r="AT284" s="129"/>
      <c r="AU284" s="129"/>
      <c r="AV284" s="129"/>
      <c r="AW284" s="129"/>
    </row>
    <row r="285" spans="1:49" ht="15.75" customHeight="1">
      <c r="A285" s="129"/>
      <c r="B285" s="129"/>
      <c r="C285" s="220"/>
      <c r="D285" s="225"/>
      <c r="E285" s="349" t="str">
        <f>IF(Menu_UseOfCalculator=E328,"Sum of UA, including exempt door and window","Sum of UA")</f>
        <v>Sum of UA</v>
      </c>
      <c r="F285" s="423">
        <f>F670</f>
        <v>263.22105333333332</v>
      </c>
      <c r="G285" s="356"/>
      <c r="H285" s="225"/>
      <c r="I285" s="225"/>
      <c r="J285" s="225"/>
      <c r="K285" s="225"/>
      <c r="L285" s="225"/>
      <c r="M285" s="225"/>
      <c r="N285" s="225"/>
      <c r="O285" s="223"/>
      <c r="P285" s="432"/>
      <c r="Q285" s="129"/>
      <c r="R285" s="220"/>
      <c r="S285" s="225"/>
      <c r="T285" s="349" t="s">
        <v>2139</v>
      </c>
      <c r="U285" s="423">
        <f>H39</f>
        <v>273.93641333333335</v>
      </c>
      <c r="V285" s="356"/>
      <c r="W285" s="225"/>
      <c r="X285" s="225"/>
      <c r="Y285" s="225"/>
      <c r="Z285" s="225"/>
      <c r="AA285" s="225"/>
      <c r="AB285" s="225"/>
      <c r="AC285" s="225"/>
      <c r="AD285" s="223"/>
      <c r="AE285" s="146"/>
      <c r="AF285" s="129"/>
      <c r="AG285" s="129"/>
      <c r="AH285" s="129"/>
      <c r="AI285" s="129"/>
      <c r="AJ285" s="129"/>
      <c r="AK285" s="129"/>
      <c r="AL285" s="129"/>
      <c r="AM285" s="129"/>
      <c r="AN285" s="129"/>
      <c r="AO285" s="129"/>
      <c r="AP285" s="129"/>
      <c r="AQ285" s="129"/>
      <c r="AR285" s="129"/>
      <c r="AS285" s="129"/>
      <c r="AT285" s="129"/>
      <c r="AU285" s="129"/>
      <c r="AV285" s="129"/>
      <c r="AW285" s="129"/>
    </row>
    <row r="286" spans="1:49" s="160" customFormat="1" ht="15.75" customHeight="1">
      <c r="A286" s="158"/>
      <c r="B286" s="158"/>
      <c r="C286" s="220"/>
      <c r="D286" s="351"/>
      <c r="E286" s="352"/>
      <c r="F286" s="363"/>
      <c r="G286" s="352"/>
      <c r="H286" s="351"/>
      <c r="I286" s="351"/>
      <c r="J286" s="351"/>
      <c r="K286" s="351"/>
      <c r="L286" s="351"/>
      <c r="M286" s="351"/>
      <c r="N286" s="351"/>
      <c r="O286" s="223"/>
      <c r="P286" s="435"/>
      <c r="Q286" s="129"/>
      <c r="R286" s="220"/>
      <c r="S286" s="351"/>
      <c r="T286" s="352"/>
      <c r="U286" s="363"/>
      <c r="V286" s="352"/>
      <c r="W286" s="351"/>
      <c r="X286" s="351"/>
      <c r="Y286" s="351"/>
      <c r="Z286" s="351"/>
      <c r="AA286" s="351"/>
      <c r="AB286" s="351"/>
      <c r="AC286" s="351"/>
      <c r="AD286" s="223"/>
      <c r="AE286" s="159"/>
      <c r="AF286" s="158"/>
      <c r="AG286" s="158"/>
      <c r="AH286" s="158"/>
      <c r="AI286" s="158"/>
      <c r="AJ286" s="158"/>
      <c r="AK286" s="129"/>
      <c r="AL286" s="158"/>
      <c r="AM286" s="158"/>
      <c r="AN286" s="158"/>
      <c r="AO286" s="158"/>
      <c r="AP286" s="158"/>
      <c r="AQ286" s="158"/>
      <c r="AR286" s="158"/>
      <c r="AS286" s="158"/>
      <c r="AT286" s="158"/>
      <c r="AU286" s="158"/>
      <c r="AV286" s="158"/>
      <c r="AW286" s="158"/>
    </row>
    <row r="287" spans="1:49" ht="15.75" customHeight="1">
      <c r="A287" s="129"/>
      <c r="B287" s="129"/>
      <c r="C287" s="220"/>
      <c r="D287" s="225"/>
      <c r="E287" s="349" t="s">
        <v>2140</v>
      </c>
      <c r="F287" s="366">
        <f>IFERROR(F285*F275,"")</f>
        <v>12634.610559999999</v>
      </c>
      <c r="G287" s="356" t="s">
        <v>2141</v>
      </c>
      <c r="H287" s="225"/>
      <c r="I287" s="225"/>
      <c r="J287" s="225"/>
      <c r="K287" s="225"/>
      <c r="L287" s="225"/>
      <c r="M287" s="225"/>
      <c r="N287" s="225"/>
      <c r="O287" s="223"/>
      <c r="P287" s="432"/>
      <c r="Q287" s="129"/>
      <c r="R287" s="220"/>
      <c r="S287" s="225"/>
      <c r="T287" s="349" t="s">
        <v>2140</v>
      </c>
      <c r="U287" s="366">
        <f>IFERROR(U285*U275,"")</f>
        <v>13148.947840000001</v>
      </c>
      <c r="V287" s="356" t="s">
        <v>2141</v>
      </c>
      <c r="W287" s="225"/>
      <c r="X287" s="225"/>
      <c r="Y287" s="225"/>
      <c r="Z287" s="225"/>
      <c r="AA287" s="225"/>
      <c r="AB287" s="225"/>
      <c r="AC287" s="225"/>
      <c r="AD287" s="223"/>
      <c r="AE287" s="146"/>
      <c r="AF287" s="129"/>
      <c r="AG287" s="129"/>
      <c r="AH287" s="129"/>
      <c r="AI287" s="129"/>
      <c r="AJ287" s="129"/>
      <c r="AK287" s="129"/>
      <c r="AL287" s="129"/>
      <c r="AM287" s="129"/>
      <c r="AN287" s="129"/>
      <c r="AO287" s="129"/>
      <c r="AP287" s="129"/>
      <c r="AQ287" s="129"/>
      <c r="AR287" s="129"/>
      <c r="AS287" s="129"/>
      <c r="AT287" s="129"/>
      <c r="AU287" s="129"/>
      <c r="AV287" s="129"/>
      <c r="AW287" s="129"/>
    </row>
    <row r="288" spans="1:49" ht="15.75" customHeight="1">
      <c r="A288" s="129"/>
      <c r="B288" s="129"/>
      <c r="C288" s="220"/>
      <c r="D288" s="225"/>
      <c r="E288" s="613" t="s">
        <v>2142</v>
      </c>
      <c r="F288" s="364"/>
      <c r="G288" s="356"/>
      <c r="H288" s="225"/>
      <c r="I288" s="225"/>
      <c r="J288" s="225"/>
      <c r="K288" s="225"/>
      <c r="L288" s="225"/>
      <c r="M288" s="225"/>
      <c r="N288" s="225"/>
      <c r="O288" s="223"/>
      <c r="P288" s="432"/>
      <c r="Q288" s="129"/>
      <c r="R288" s="220"/>
      <c r="S288" s="225"/>
      <c r="T288" s="353" t="s">
        <v>2142</v>
      </c>
      <c r="U288" s="364"/>
      <c r="V288" s="356"/>
      <c r="W288" s="225"/>
      <c r="X288" s="225"/>
      <c r="Y288" s="225"/>
      <c r="Z288" s="225"/>
      <c r="AA288" s="225"/>
      <c r="AB288" s="225"/>
      <c r="AC288" s="225"/>
      <c r="AD288" s="223"/>
      <c r="AE288" s="146"/>
      <c r="AF288" s="129"/>
      <c r="AG288" s="129"/>
      <c r="AH288" s="129"/>
      <c r="AI288" s="129"/>
      <c r="AJ288" s="129"/>
      <c r="AK288" s="129"/>
      <c r="AL288" s="129"/>
      <c r="AM288" s="129"/>
      <c r="AN288" s="129"/>
      <c r="AO288" s="129"/>
      <c r="AP288" s="129"/>
      <c r="AQ288" s="129"/>
      <c r="AR288" s="129"/>
      <c r="AS288" s="129"/>
      <c r="AT288" s="129"/>
      <c r="AU288" s="129"/>
      <c r="AV288" s="129"/>
      <c r="AW288" s="129"/>
    </row>
    <row r="289" spans="1:49" ht="15.75" customHeight="1">
      <c r="A289" s="129"/>
      <c r="B289" s="129"/>
      <c r="C289" s="220"/>
      <c r="D289" s="225"/>
      <c r="E289" s="349" t="s">
        <v>2143</v>
      </c>
      <c r="F289" s="367">
        <f>IFERROR($F663*0.6*F275*0.018,F277*F280*0.6*F275*0.018)</f>
        <v>9253.4399999999987</v>
      </c>
      <c r="G289" s="356" t="s">
        <v>2141</v>
      </c>
      <c r="H289" s="225"/>
      <c r="I289" s="225"/>
      <c r="J289" s="225"/>
      <c r="K289" s="225"/>
      <c r="L289" s="225"/>
      <c r="M289" s="225"/>
      <c r="N289" s="225"/>
      <c r="O289" s="223"/>
      <c r="P289" s="432"/>
      <c r="Q289" s="129"/>
      <c r="R289" s="220"/>
      <c r="S289" s="225"/>
      <c r="T289" s="349" t="s">
        <v>2143</v>
      </c>
      <c r="U289" s="367">
        <f>IFERROR($F664*0.6*U275*0.018,U277*U280*0.6*U275*0.018)</f>
        <v>9764.5823999999993</v>
      </c>
      <c r="V289" s="356" t="s">
        <v>2141</v>
      </c>
      <c r="W289" s="225"/>
      <c r="X289" s="225"/>
      <c r="Y289" s="225"/>
      <c r="Z289" s="225"/>
      <c r="AA289" s="225"/>
      <c r="AB289" s="225"/>
      <c r="AC289" s="225"/>
      <c r="AD289" s="223"/>
      <c r="AE289" s="146"/>
      <c r="AF289" s="129"/>
      <c r="AG289" s="129"/>
      <c r="AH289" s="129"/>
      <c r="AI289" s="129"/>
      <c r="AJ289" s="129"/>
      <c r="AK289" s="129"/>
      <c r="AL289" s="129"/>
      <c r="AM289" s="129"/>
      <c r="AN289" s="129"/>
      <c r="AO289" s="129"/>
      <c r="AP289" s="129"/>
      <c r="AQ289" s="129"/>
      <c r="AR289" s="129"/>
      <c r="AS289" s="129"/>
      <c r="AT289" s="129"/>
      <c r="AU289" s="129"/>
      <c r="AV289" s="129"/>
      <c r="AW289" s="129"/>
    </row>
    <row r="290" spans="1:49" ht="15.75" customHeight="1">
      <c r="A290" s="129"/>
      <c r="B290" s="129"/>
      <c r="C290" s="220"/>
      <c r="D290" s="354"/>
      <c r="E290" s="613" t="s">
        <v>2144</v>
      </c>
      <c r="F290" s="365"/>
      <c r="G290" s="356"/>
      <c r="H290" s="354"/>
      <c r="I290" s="354"/>
      <c r="J290" s="225"/>
      <c r="K290" s="225"/>
      <c r="L290" s="225"/>
      <c r="M290" s="225"/>
      <c r="N290" s="225"/>
      <c r="O290" s="223"/>
      <c r="P290" s="432"/>
      <c r="Q290" s="129"/>
      <c r="R290" s="220"/>
      <c r="S290" s="354"/>
      <c r="T290" s="353" t="s">
        <v>2144</v>
      </c>
      <c r="U290" s="365"/>
      <c r="V290" s="356"/>
      <c r="W290" s="354"/>
      <c r="X290" s="354"/>
      <c r="Y290" s="225"/>
      <c r="Z290" s="225"/>
      <c r="AA290" s="225"/>
      <c r="AB290" s="225"/>
      <c r="AC290" s="225"/>
      <c r="AD290" s="223"/>
      <c r="AE290" s="146"/>
      <c r="AF290" s="129"/>
      <c r="AG290" s="129"/>
      <c r="AH290" s="129"/>
      <c r="AI290" s="129"/>
      <c r="AJ290" s="129"/>
      <c r="AK290" s="129"/>
      <c r="AL290" s="129"/>
      <c r="AM290" s="129"/>
      <c r="AN290" s="129"/>
      <c r="AO290" s="129"/>
      <c r="AP290" s="129"/>
      <c r="AQ290" s="129"/>
      <c r="AR290" s="129"/>
      <c r="AS290" s="129"/>
      <c r="AT290" s="129"/>
      <c r="AU290" s="129"/>
      <c r="AV290" s="129"/>
      <c r="AW290" s="129"/>
    </row>
    <row r="291" spans="1:49" ht="15.75" customHeight="1">
      <c r="A291" s="129"/>
      <c r="B291" s="129"/>
      <c r="C291" s="220"/>
      <c r="D291" s="225"/>
      <c r="E291" s="349" t="s">
        <v>2145</v>
      </c>
      <c r="F291" s="367">
        <f>IFERROR(F287+F289,"")</f>
        <v>21888.050559999996</v>
      </c>
      <c r="G291" s="356" t="s">
        <v>2141</v>
      </c>
      <c r="H291" s="225"/>
      <c r="I291" s="225"/>
      <c r="J291" s="225"/>
      <c r="K291" s="225"/>
      <c r="L291" s="225"/>
      <c r="M291" s="225"/>
      <c r="N291" s="225"/>
      <c r="O291" s="223"/>
      <c r="P291" s="432"/>
      <c r="Q291" s="129"/>
      <c r="R291" s="220"/>
      <c r="S291" s="225"/>
      <c r="T291" s="349" t="s">
        <v>2145</v>
      </c>
      <c r="U291" s="367">
        <f>IFERROR(U287+U289,"")</f>
        <v>22913.53024</v>
      </c>
      <c r="V291" s="356" t="s">
        <v>2141</v>
      </c>
      <c r="W291" s="225"/>
      <c r="X291" s="225"/>
      <c r="Y291" s="225"/>
      <c r="Z291" s="225"/>
      <c r="AA291" s="225"/>
      <c r="AB291" s="225"/>
      <c r="AC291" s="225"/>
      <c r="AD291" s="223"/>
      <c r="AE291" s="146"/>
      <c r="AF291" s="129"/>
      <c r="AG291" s="129"/>
      <c r="AH291" s="129"/>
      <c r="AI291" s="129"/>
      <c r="AJ291" s="129"/>
      <c r="AK291" s="129"/>
      <c r="AL291" s="129"/>
      <c r="AM291" s="129"/>
      <c r="AN291" s="129"/>
      <c r="AO291" s="129"/>
      <c r="AP291" s="129"/>
      <c r="AQ291" s="129"/>
      <c r="AR291" s="129"/>
      <c r="AS291" s="129"/>
      <c r="AT291" s="129"/>
      <c r="AU291" s="129"/>
      <c r="AV291" s="129"/>
      <c r="AW291" s="129"/>
    </row>
    <row r="292" spans="1:49" ht="15.75" customHeight="1">
      <c r="A292" s="129"/>
      <c r="B292" s="129"/>
      <c r="C292" s="220"/>
      <c r="D292" s="225"/>
      <c r="E292" s="613" t="s">
        <v>2146</v>
      </c>
      <c r="F292" s="365"/>
      <c r="G292" s="356"/>
      <c r="H292" s="225"/>
      <c r="I292" s="225"/>
      <c r="J292" s="225"/>
      <c r="K292" s="225"/>
      <c r="L292" s="225"/>
      <c r="M292" s="225"/>
      <c r="N292" s="225"/>
      <c r="O292" s="223"/>
      <c r="P292" s="432"/>
      <c r="Q292" s="129"/>
      <c r="R292" s="220"/>
      <c r="S292" s="225"/>
      <c r="T292" s="353" t="s">
        <v>2146</v>
      </c>
      <c r="U292" s="365"/>
      <c r="V292" s="356"/>
      <c r="W292" s="225"/>
      <c r="X292" s="225"/>
      <c r="Y292" s="225"/>
      <c r="Z292" s="225"/>
      <c r="AA292" s="225"/>
      <c r="AB292" s="225"/>
      <c r="AC292" s="225"/>
      <c r="AD292" s="223"/>
      <c r="AE292" s="146"/>
      <c r="AF292" s="129"/>
      <c r="AG292" s="129"/>
      <c r="AH292" s="129"/>
      <c r="AI292" s="129"/>
      <c r="AJ292" s="129"/>
      <c r="AK292" s="129"/>
      <c r="AL292" s="129"/>
      <c r="AM292" s="129"/>
      <c r="AN292" s="129"/>
      <c r="AO292" s="129"/>
      <c r="AP292" s="129"/>
      <c r="AQ292" s="129"/>
      <c r="AR292" s="129"/>
      <c r="AS292" s="129"/>
      <c r="AT292" s="129"/>
      <c r="AU292" s="129"/>
      <c r="AV292" s="129"/>
      <c r="AW292" s="129"/>
    </row>
    <row r="293" spans="1:49" ht="17.25" customHeight="1">
      <c r="A293" s="129"/>
      <c r="B293" s="129"/>
      <c r="C293" s="220"/>
      <c r="D293" s="225"/>
      <c r="E293" s="349" t="s">
        <v>2147</v>
      </c>
      <c r="F293" s="367">
        <f>IFERROR(F291*F677,"")</f>
        <v>24076.855615999997</v>
      </c>
      <c r="G293" s="356" t="s">
        <v>2141</v>
      </c>
      <c r="H293" s="225"/>
      <c r="I293" s="225"/>
      <c r="J293" s="225"/>
      <c r="K293" s="360"/>
      <c r="L293" s="360"/>
      <c r="M293" s="360"/>
      <c r="N293" s="360"/>
      <c r="O293" s="223"/>
      <c r="P293" s="432"/>
      <c r="Q293" s="129"/>
      <c r="R293" s="220"/>
      <c r="S293" s="225"/>
      <c r="T293" s="349" t="s">
        <v>2147</v>
      </c>
      <c r="U293" s="367">
        <f>IFERROR(U291*F678,"")</f>
        <v>25204.883264000004</v>
      </c>
      <c r="V293" s="356" t="s">
        <v>2141</v>
      </c>
      <c r="W293" s="225"/>
      <c r="X293" s="225"/>
      <c r="Y293" s="225"/>
      <c r="Z293" s="360"/>
      <c r="AA293" s="360"/>
      <c r="AB293" s="360"/>
      <c r="AC293" s="360"/>
      <c r="AD293" s="223"/>
      <c r="AE293" s="129"/>
      <c r="AF293" s="129"/>
      <c r="AG293" s="129"/>
      <c r="AH293" s="129"/>
      <c r="AI293" s="129"/>
      <c r="AJ293" s="129"/>
      <c r="AK293" s="129"/>
      <c r="AL293" s="129"/>
      <c r="AM293" s="129"/>
      <c r="AN293" s="129"/>
      <c r="AO293" s="129"/>
      <c r="AP293" s="129"/>
      <c r="AQ293" s="129"/>
      <c r="AR293" s="129"/>
      <c r="AS293" s="129"/>
      <c r="AT293" s="129"/>
      <c r="AU293" s="129"/>
      <c r="AV293" s="129"/>
      <c r="AW293" s="129"/>
    </row>
    <row r="294" spans="1:49" ht="15.75" customHeight="1">
      <c r="A294" s="129"/>
      <c r="B294" s="129"/>
      <c r="C294" s="220"/>
      <c r="D294" s="225"/>
      <c r="E294" s="613" t="s">
        <v>2162</v>
      </c>
      <c r="F294" s="365"/>
      <c r="G294" s="356"/>
      <c r="H294" s="225"/>
      <c r="I294" s="225"/>
      <c r="J294" s="225"/>
      <c r="K294" s="360"/>
      <c r="L294" s="360"/>
      <c r="M294" s="360"/>
      <c r="N294" s="360"/>
      <c r="O294" s="223"/>
      <c r="P294" s="432"/>
      <c r="Q294" s="129"/>
      <c r="R294" s="220"/>
      <c r="S294" s="225"/>
      <c r="T294" s="353" t="s">
        <v>2162</v>
      </c>
      <c r="U294" s="365"/>
      <c r="V294" s="356"/>
      <c r="W294" s="225"/>
      <c r="X294" s="225"/>
      <c r="Y294" s="225"/>
      <c r="Z294" s="360"/>
      <c r="AA294" s="360"/>
      <c r="AB294" s="360"/>
      <c r="AC294" s="360"/>
      <c r="AD294" s="223"/>
      <c r="AE294" s="129"/>
      <c r="AF294" s="129"/>
      <c r="AG294" s="129"/>
      <c r="AH294" s="129"/>
      <c r="AI294" s="129"/>
      <c r="AJ294" s="129"/>
      <c r="AK294" s="129"/>
      <c r="AL294" s="129"/>
      <c r="AM294" s="129"/>
      <c r="AN294" s="129"/>
      <c r="AO294" s="129"/>
      <c r="AP294" s="129"/>
      <c r="AQ294" s="129"/>
      <c r="AR294" s="129"/>
      <c r="AS294" s="129"/>
      <c r="AT294" s="129"/>
      <c r="AU294" s="129"/>
      <c r="AV294" s="129"/>
      <c r="AW294" s="129"/>
    </row>
    <row r="295" spans="1:49" ht="15.75" customHeight="1">
      <c r="A295" s="129"/>
      <c r="B295" s="129"/>
      <c r="C295" s="220"/>
      <c r="D295" s="225"/>
      <c r="E295" s="613" t="s">
        <v>2163</v>
      </c>
      <c r="F295" s="365"/>
      <c r="G295" s="356"/>
      <c r="H295" s="225"/>
      <c r="I295" s="225"/>
      <c r="J295" s="225"/>
      <c r="K295" s="360"/>
      <c r="L295" s="360"/>
      <c r="M295" s="360"/>
      <c r="N295" s="360"/>
      <c r="O295" s="223"/>
      <c r="P295" s="432"/>
      <c r="Q295" s="129"/>
      <c r="R295" s="220"/>
      <c r="S295" s="225"/>
      <c r="T295" s="353" t="s">
        <v>2163</v>
      </c>
      <c r="U295" s="365"/>
      <c r="V295" s="356"/>
      <c r="W295" s="225"/>
      <c r="X295" s="225"/>
      <c r="Y295" s="225"/>
      <c r="Z295" s="360"/>
      <c r="AA295" s="360"/>
      <c r="AB295" s="360"/>
      <c r="AC295" s="360"/>
      <c r="AD295" s="223"/>
      <c r="AE295" s="129"/>
      <c r="AF295" s="129"/>
      <c r="AG295" s="129"/>
      <c r="AH295" s="129"/>
      <c r="AI295" s="129"/>
      <c r="AJ295" s="129"/>
      <c r="AK295" s="129"/>
      <c r="AL295" s="129"/>
      <c r="AM295" s="129"/>
      <c r="AN295" s="129"/>
      <c r="AO295" s="129"/>
      <c r="AP295" s="129"/>
      <c r="AQ295" s="129"/>
      <c r="AR295" s="129"/>
      <c r="AS295" s="129"/>
      <c r="AT295" s="129"/>
      <c r="AU295" s="129"/>
      <c r="AV295" s="129"/>
      <c r="AW295" s="129"/>
    </row>
    <row r="296" spans="1:49" ht="15.75" customHeight="1">
      <c r="A296" s="129"/>
      <c r="B296" s="129"/>
      <c r="C296" s="220"/>
      <c r="D296" s="225"/>
      <c r="E296" s="349" t="s">
        <v>2148</v>
      </c>
      <c r="F296" s="368">
        <f>IFERROR(IF(P278&lt;&gt;1,IFERROR(F293*I676,"Error"),"Error"),"Error")</f>
        <v>30096.069519999997</v>
      </c>
      <c r="G296" s="356" t="s">
        <v>2141</v>
      </c>
      <c r="H296" s="225"/>
      <c r="I296" s="225"/>
      <c r="J296" s="225"/>
      <c r="K296" s="360"/>
      <c r="L296" s="360"/>
      <c r="M296" s="360"/>
      <c r="N296" s="360"/>
      <c r="O296" s="223"/>
      <c r="P296" s="432"/>
      <c r="Q296" s="129"/>
      <c r="R296" s="220"/>
      <c r="S296" s="225"/>
      <c r="T296" s="349" t="s">
        <v>2148</v>
      </c>
      <c r="U296" s="368">
        <f>IFERROR(U293*I677,"Error")</f>
        <v>35286.836569600004</v>
      </c>
      <c r="V296" s="356" t="s">
        <v>2141</v>
      </c>
      <c r="W296" s="225"/>
      <c r="X296" s="225"/>
      <c r="Y296" s="225"/>
      <c r="Z296" s="360"/>
      <c r="AA296" s="360"/>
      <c r="AB296" s="360"/>
      <c r="AC296" s="360"/>
      <c r="AD296" s="223"/>
      <c r="AE296" s="129"/>
      <c r="AF296" s="129"/>
      <c r="AG296" s="129"/>
      <c r="AH296" s="129"/>
      <c r="AI296" s="129"/>
      <c r="AJ296" s="129"/>
      <c r="AK296" s="129"/>
      <c r="AL296" s="129"/>
      <c r="AM296" s="129"/>
      <c r="AN296" s="129"/>
      <c r="AO296" s="129"/>
      <c r="AP296" s="129"/>
      <c r="AQ296" s="129"/>
      <c r="AR296" s="129"/>
      <c r="AS296" s="129"/>
      <c r="AT296" s="129"/>
      <c r="AU296" s="129"/>
      <c r="AV296" s="129"/>
      <c r="AW296" s="129"/>
    </row>
    <row r="297" spans="1:49" ht="15.75" customHeight="1">
      <c r="A297" s="129"/>
      <c r="B297" s="129"/>
      <c r="C297" s="220"/>
      <c r="D297" s="225"/>
      <c r="E297" s="613" t="s">
        <v>2152</v>
      </c>
      <c r="F297" s="831">
        <f>IFERROR(F296/3412,"Error")</f>
        <v>8.8206534349355206</v>
      </c>
      <c r="G297" s="356" t="s">
        <v>2860</v>
      </c>
      <c r="H297" s="225"/>
      <c r="I297" s="225"/>
      <c r="J297" s="225"/>
      <c r="K297" s="360"/>
      <c r="L297" s="360"/>
      <c r="M297" s="360"/>
      <c r="N297" s="360"/>
      <c r="O297" s="223"/>
      <c r="P297" s="432"/>
      <c r="Q297" s="129"/>
      <c r="R297" s="220"/>
      <c r="S297" s="225"/>
      <c r="T297" s="353" t="s">
        <v>2152</v>
      </c>
      <c r="U297" s="831">
        <f>IFERROR(U296/3412,"Error")</f>
        <v>10.341980237280188</v>
      </c>
      <c r="V297" s="356" t="s">
        <v>2860</v>
      </c>
      <c r="W297" s="225"/>
      <c r="X297" s="225"/>
      <c r="Y297" s="225"/>
      <c r="Z297" s="360"/>
      <c r="AA297" s="360"/>
      <c r="AB297" s="360"/>
      <c r="AC297" s="360"/>
      <c r="AD297" s="223"/>
      <c r="AE297" s="129"/>
      <c r="AF297" s="129"/>
      <c r="AG297" s="129"/>
      <c r="AH297" s="129"/>
      <c r="AI297" s="129"/>
      <c r="AJ297" s="129"/>
      <c r="AK297" s="129"/>
      <c r="AL297" s="129"/>
      <c r="AM297" s="129"/>
      <c r="AN297" s="129"/>
      <c r="AO297" s="129"/>
      <c r="AP297" s="129"/>
      <c r="AQ297" s="129"/>
      <c r="AR297" s="129"/>
      <c r="AS297" s="129"/>
      <c r="AT297" s="129"/>
      <c r="AU297" s="129"/>
      <c r="AV297" s="129"/>
      <c r="AW297" s="129"/>
    </row>
    <row r="298" spans="1:49" ht="15.75" customHeight="1">
      <c r="A298" s="129"/>
      <c r="B298" s="129"/>
      <c r="C298" s="266"/>
      <c r="D298" s="137"/>
      <c r="E298" s="614" t="s">
        <v>2153</v>
      </c>
      <c r="F298" s="137"/>
      <c r="G298" s="137"/>
      <c r="H298" s="137"/>
      <c r="I298" s="137"/>
      <c r="J298" s="137"/>
      <c r="K298" s="361"/>
      <c r="L298" s="361"/>
      <c r="M298" s="361"/>
      <c r="N298" s="361"/>
      <c r="O298" s="237"/>
      <c r="P298" s="432"/>
      <c r="Q298" s="129"/>
      <c r="R298" s="266"/>
      <c r="S298" s="137"/>
      <c r="T298" s="355" t="s">
        <v>2153</v>
      </c>
      <c r="U298" s="137"/>
      <c r="V298" s="137"/>
      <c r="W298" s="137"/>
      <c r="X298" s="137"/>
      <c r="Y298" s="137"/>
      <c r="Z298" s="361"/>
      <c r="AA298" s="361"/>
      <c r="AB298" s="361"/>
      <c r="AC298" s="361"/>
      <c r="AD298" s="237"/>
      <c r="AE298" s="129"/>
      <c r="AF298" s="129"/>
      <c r="AG298" s="129"/>
      <c r="AH298" s="129"/>
      <c r="AI298" s="129"/>
      <c r="AJ298" s="129"/>
      <c r="AK298" s="129"/>
      <c r="AL298" s="129"/>
      <c r="AM298" s="129"/>
      <c r="AN298" s="129"/>
      <c r="AO298" s="129"/>
      <c r="AP298" s="129"/>
      <c r="AQ298" s="129"/>
      <c r="AR298" s="129"/>
      <c r="AS298" s="129"/>
      <c r="AT298" s="129"/>
      <c r="AU298" s="129"/>
      <c r="AV298" s="129"/>
      <c r="AW298" s="129"/>
    </row>
    <row r="299" spans="1:49" ht="15.75" customHeight="1">
      <c r="A299" s="129"/>
      <c r="B299" s="253"/>
      <c r="C299" s="525" t="s">
        <v>2832</v>
      </c>
      <c r="D299" s="254"/>
      <c r="E299" s="254"/>
      <c r="F299" s="254"/>
      <c r="G299" s="254"/>
      <c r="H299" s="254"/>
      <c r="I299" s="254"/>
      <c r="J299" s="254"/>
      <c r="K299" s="254"/>
      <c r="L299" s="254"/>
      <c r="M299" s="254"/>
      <c r="N299" s="254"/>
      <c r="O299" s="254"/>
      <c r="P299" s="129"/>
      <c r="Q299" s="129"/>
      <c r="R299" s="129"/>
      <c r="S299" s="129"/>
      <c r="T299" s="129"/>
      <c r="U299" s="129"/>
      <c r="V299" s="129"/>
      <c r="W299" s="129"/>
      <c r="X299" s="129"/>
      <c r="Y299" s="129"/>
      <c r="Z299" s="129"/>
      <c r="AA299" s="129"/>
      <c r="AB299" s="129"/>
      <c r="AC299" s="129"/>
      <c r="AD299" s="129"/>
      <c r="AE299" s="129"/>
      <c r="AF299" s="129"/>
      <c r="AG299" s="129"/>
      <c r="AH299" s="129"/>
      <c r="AI299" s="129"/>
      <c r="AJ299" s="129"/>
      <c r="AK299" s="129"/>
      <c r="AL299" s="129"/>
      <c r="AM299" s="129"/>
      <c r="AN299" s="129"/>
      <c r="AO299" s="129"/>
      <c r="AP299" s="129"/>
      <c r="AQ299" s="129"/>
      <c r="AR299" s="129"/>
      <c r="AS299" s="129"/>
      <c r="AT299" s="129"/>
      <c r="AU299" s="129"/>
      <c r="AV299" s="129"/>
    </row>
    <row r="300" spans="1:49" ht="15.75" customHeight="1">
      <c r="A300" s="129"/>
      <c r="B300" s="129"/>
      <c r="C300" s="216"/>
      <c r="D300" s="238"/>
      <c r="E300" s="701" t="s">
        <v>2829</v>
      </c>
      <c r="F300" s="805">
        <f>IFERROR(F287/F$275,"")</f>
        <v>263.22105333333332</v>
      </c>
      <c r="G300" s="811" t="s">
        <v>2839</v>
      </c>
      <c r="H300" s="806"/>
      <c r="I300" s="238"/>
      <c r="J300" s="238"/>
      <c r="K300" s="238"/>
      <c r="L300" s="238"/>
      <c r="M300" s="238"/>
      <c r="N300" s="238"/>
      <c r="O300" s="219"/>
      <c r="P300" s="129"/>
      <c r="Q300" s="129"/>
      <c r="R300" s="129"/>
      <c r="S300" s="129"/>
      <c r="T300" s="129"/>
      <c r="U300" s="129"/>
      <c r="V300" s="129"/>
      <c r="W300" s="129"/>
      <c r="X300" s="129"/>
      <c r="Y300" s="129"/>
      <c r="Z300" s="129"/>
      <c r="AA300" s="129"/>
      <c r="AB300" s="129"/>
      <c r="AC300" s="129"/>
      <c r="AD300" s="129"/>
      <c r="AE300" s="129"/>
      <c r="AF300" s="129"/>
      <c r="AG300" s="129"/>
      <c r="AH300" s="129"/>
      <c r="AI300" s="129"/>
      <c r="AJ300" s="129"/>
      <c r="AK300" s="129"/>
      <c r="AL300" s="129"/>
      <c r="AM300" s="129"/>
      <c r="AN300" s="129"/>
      <c r="AO300" s="129"/>
      <c r="AP300" s="129"/>
      <c r="AQ300" s="129"/>
      <c r="AR300" s="129"/>
      <c r="AS300" s="129"/>
      <c r="AT300" s="129"/>
      <c r="AU300" s="129"/>
      <c r="AV300" s="129"/>
    </row>
    <row r="301" spans="1:49" ht="15.75" customHeight="1">
      <c r="A301" s="129"/>
      <c r="B301" s="129"/>
      <c r="C301" s="220"/>
      <c r="D301" s="225"/>
      <c r="E301" s="349" t="s">
        <v>2830</v>
      </c>
      <c r="F301" s="804">
        <f>IFERROR(F291/F$275,"")</f>
        <v>456.00105333333323</v>
      </c>
      <c r="G301" s="356" t="s">
        <v>2839</v>
      </c>
      <c r="H301" s="358"/>
      <c r="I301" s="225"/>
      <c r="J301" s="225"/>
      <c r="K301" s="225"/>
      <c r="L301" s="225"/>
      <c r="M301" s="225"/>
      <c r="N301" s="225"/>
      <c r="O301" s="223"/>
      <c r="P301" s="129"/>
      <c r="Q301" s="129"/>
      <c r="R301" s="129"/>
      <c r="S301" s="129"/>
      <c r="T301" s="129"/>
      <c r="U301" s="129"/>
      <c r="V301" s="129"/>
      <c r="W301" s="129"/>
      <c r="X301" s="129"/>
      <c r="Y301" s="129"/>
      <c r="Z301" s="129"/>
      <c r="AA301" s="129"/>
      <c r="AB301" s="129"/>
      <c r="AC301" s="129"/>
      <c r="AD301" s="129"/>
      <c r="AE301" s="129"/>
      <c r="AF301" s="129"/>
      <c r="AG301" s="129"/>
      <c r="AH301" s="129"/>
      <c r="AI301" s="129"/>
      <c r="AJ301" s="129"/>
      <c r="AK301" s="129"/>
      <c r="AL301" s="129"/>
      <c r="AM301" s="129"/>
      <c r="AN301" s="129"/>
      <c r="AO301" s="129"/>
      <c r="AP301" s="129"/>
      <c r="AQ301" s="129"/>
      <c r="AR301" s="129"/>
      <c r="AS301" s="129"/>
      <c r="AT301" s="129"/>
      <c r="AU301" s="129"/>
      <c r="AV301" s="129"/>
    </row>
    <row r="302" spans="1:49" ht="15.75" customHeight="1">
      <c r="A302" s="129"/>
      <c r="B302" s="129"/>
      <c r="C302" s="266"/>
      <c r="D302" s="137"/>
      <c r="E302" s="741" t="s">
        <v>2831</v>
      </c>
      <c r="F302" s="807">
        <f>IFERROR(F293/F$275,"")</f>
        <v>501.60115866666661</v>
      </c>
      <c r="G302" s="812" t="s">
        <v>2839</v>
      </c>
      <c r="H302" s="808"/>
      <c r="I302" s="137"/>
      <c r="J302" s="137"/>
      <c r="K302" s="137"/>
      <c r="L302" s="137"/>
      <c r="M302" s="137"/>
      <c r="N302" s="137"/>
      <c r="O302" s="237"/>
      <c r="P302" s="129"/>
      <c r="Q302" s="129"/>
      <c r="R302" s="129"/>
      <c r="S302" s="129"/>
      <c r="T302" s="129"/>
      <c r="U302" s="129"/>
      <c r="V302" s="129"/>
      <c r="W302" s="129"/>
      <c r="X302" s="129"/>
      <c r="Y302" s="129"/>
      <c r="Z302" s="129"/>
      <c r="AA302" s="129"/>
      <c r="AB302" s="129"/>
      <c r="AC302" s="129"/>
      <c r="AD302" s="129"/>
      <c r="AE302" s="129"/>
      <c r="AF302" s="129"/>
      <c r="AG302" s="129"/>
      <c r="AH302" s="129"/>
      <c r="AI302" s="129"/>
      <c r="AJ302" s="129"/>
      <c r="AK302" s="129"/>
      <c r="AL302" s="129"/>
      <c r="AM302" s="129"/>
      <c r="AN302" s="129"/>
      <c r="AO302" s="129"/>
      <c r="AP302" s="129"/>
      <c r="AQ302" s="129"/>
      <c r="AR302" s="129"/>
      <c r="AS302" s="129"/>
      <c r="AT302" s="129"/>
      <c r="AU302" s="129"/>
      <c r="AV302" s="129"/>
    </row>
    <row r="303" spans="1:49" ht="15.75" customHeight="1">
      <c r="A303" s="129"/>
      <c r="B303" s="129"/>
      <c r="C303" s="129"/>
      <c r="D303" s="129"/>
      <c r="E303" s="129"/>
      <c r="F303" s="129"/>
      <c r="G303" s="129"/>
      <c r="H303" s="129"/>
      <c r="I303" s="129"/>
      <c r="J303" s="129"/>
      <c r="K303" s="129"/>
      <c r="L303" s="129"/>
      <c r="M303" s="129"/>
      <c r="N303" s="129"/>
      <c r="O303" s="129"/>
      <c r="P303" s="129"/>
      <c r="Q303" s="129"/>
      <c r="R303" s="129"/>
      <c r="S303" s="129"/>
      <c r="T303" s="129"/>
      <c r="U303" s="129"/>
      <c r="V303" s="129"/>
      <c r="W303" s="129"/>
      <c r="X303" s="129"/>
      <c r="Y303" s="129"/>
      <c r="Z303" s="129"/>
      <c r="AA303" s="129"/>
      <c r="AB303" s="129"/>
      <c r="AC303" s="129"/>
      <c r="AD303" s="129"/>
      <c r="AE303" s="129"/>
      <c r="AF303" s="129"/>
      <c r="AG303" s="129"/>
      <c r="AH303" s="129"/>
      <c r="AI303" s="129"/>
      <c r="AJ303" s="129"/>
      <c r="AK303" s="129"/>
      <c r="AL303" s="129"/>
      <c r="AM303" s="129"/>
      <c r="AN303" s="129"/>
      <c r="AO303" s="129"/>
      <c r="AP303" s="129"/>
      <c r="AQ303" s="129"/>
      <c r="AR303" s="129"/>
      <c r="AS303" s="129"/>
      <c r="AT303" s="129"/>
      <c r="AU303" s="129"/>
      <c r="AV303" s="129"/>
    </row>
    <row r="304" spans="1:49" ht="15.75" customHeight="1">
      <c r="A304" s="129"/>
      <c r="B304" s="129"/>
      <c r="C304" s="129"/>
      <c r="D304" s="129"/>
      <c r="E304" s="129"/>
      <c r="F304" s="129"/>
      <c r="G304" s="129"/>
      <c r="H304" s="129"/>
      <c r="I304" s="129"/>
      <c r="J304" s="129"/>
      <c r="K304" s="145"/>
      <c r="L304" s="145"/>
      <c r="M304" s="145"/>
      <c r="N304" s="145"/>
      <c r="O304" s="129"/>
      <c r="P304" s="129"/>
      <c r="Q304" s="129"/>
      <c r="R304" s="129"/>
      <c r="S304" s="129"/>
      <c r="T304" s="129"/>
      <c r="U304" s="129"/>
      <c r="V304" s="129"/>
      <c r="W304" s="129"/>
      <c r="X304" s="129"/>
      <c r="Y304" s="129"/>
      <c r="Z304" s="129"/>
      <c r="AA304" s="129"/>
      <c r="AB304" s="129"/>
      <c r="AC304" s="129"/>
      <c r="AD304" s="129"/>
      <c r="AE304" s="129"/>
      <c r="AF304" s="129"/>
      <c r="AG304" s="129"/>
      <c r="AH304" s="129"/>
      <c r="AI304" s="129"/>
      <c r="AJ304" s="129"/>
      <c r="AK304" s="129"/>
      <c r="AL304" s="129"/>
      <c r="AM304" s="129"/>
      <c r="AN304" s="129"/>
      <c r="AO304" s="129"/>
      <c r="AP304" s="129"/>
      <c r="AQ304" s="129"/>
      <c r="AR304" s="129"/>
      <c r="AS304" s="129"/>
      <c r="AT304" s="129"/>
      <c r="AU304" s="129"/>
      <c r="AV304" s="129"/>
    </row>
    <row r="305" spans="1:48" ht="15.75" customHeight="1">
      <c r="A305" s="129"/>
      <c r="B305" s="129"/>
      <c r="C305" s="129"/>
      <c r="D305" s="129"/>
      <c r="E305" s="129"/>
      <c r="F305" s="129"/>
      <c r="G305" s="129"/>
      <c r="H305" s="129"/>
      <c r="I305" s="129"/>
      <c r="J305" s="129"/>
      <c r="K305" s="145"/>
      <c r="L305" s="145"/>
      <c r="M305" s="145"/>
      <c r="N305" s="145"/>
      <c r="O305" s="129"/>
      <c r="P305" s="129"/>
      <c r="Q305" s="129"/>
      <c r="R305" s="129"/>
      <c r="S305" s="129"/>
      <c r="T305" s="129"/>
      <c r="U305" s="129"/>
      <c r="V305" s="129"/>
      <c r="W305" s="129"/>
      <c r="X305" s="129"/>
      <c r="Y305" s="129"/>
      <c r="Z305" s="129"/>
      <c r="AA305" s="129"/>
      <c r="AB305" s="129"/>
      <c r="AC305" s="129"/>
      <c r="AD305" s="129"/>
      <c r="AE305" s="129"/>
      <c r="AF305" s="129"/>
      <c r="AG305" s="129"/>
      <c r="AH305" s="129"/>
      <c r="AI305" s="129"/>
      <c r="AJ305" s="129"/>
      <c r="AK305" s="129"/>
      <c r="AL305" s="129"/>
      <c r="AM305" s="129"/>
      <c r="AN305" s="129"/>
      <c r="AO305" s="129"/>
      <c r="AP305" s="129"/>
      <c r="AQ305" s="129"/>
      <c r="AR305" s="129"/>
      <c r="AS305" s="129"/>
      <c r="AT305" s="129"/>
      <c r="AU305" s="129"/>
      <c r="AV305" s="129"/>
    </row>
    <row r="306" spans="1:48" ht="15.75" customHeight="1">
      <c r="A306" s="129"/>
      <c r="B306" s="129"/>
      <c r="C306" s="129"/>
      <c r="D306" s="129"/>
      <c r="E306" s="129"/>
      <c r="F306" s="129"/>
      <c r="G306" s="129"/>
      <c r="H306" s="129"/>
      <c r="I306" s="129"/>
      <c r="J306" s="129"/>
      <c r="K306" s="145"/>
      <c r="L306" s="145"/>
      <c r="M306" s="145"/>
      <c r="N306" s="145"/>
      <c r="O306" s="129"/>
      <c r="P306" s="129"/>
      <c r="Q306" s="129"/>
      <c r="R306" s="129"/>
      <c r="S306" s="129"/>
      <c r="T306" s="129"/>
      <c r="U306" s="129"/>
      <c r="V306" s="129"/>
      <c r="W306" s="129"/>
      <c r="X306" s="129"/>
      <c r="Y306" s="129"/>
      <c r="Z306" s="129"/>
      <c r="AA306" s="129"/>
      <c r="AB306" s="129"/>
      <c r="AC306" s="129"/>
      <c r="AD306" s="129"/>
      <c r="AE306" s="129"/>
      <c r="AF306" s="129"/>
      <c r="AG306" s="129"/>
      <c r="AH306" s="129"/>
      <c r="AI306" s="129"/>
      <c r="AJ306" s="129"/>
      <c r="AK306" s="129"/>
      <c r="AL306" s="129"/>
      <c r="AM306" s="129"/>
      <c r="AN306" s="129"/>
      <c r="AO306" s="129"/>
      <c r="AP306" s="129"/>
      <c r="AQ306" s="129"/>
      <c r="AR306" s="129"/>
      <c r="AS306" s="129"/>
      <c r="AT306" s="129"/>
      <c r="AU306" s="129"/>
      <c r="AV306" s="129"/>
    </row>
    <row r="307" spans="1:48" ht="15.75" customHeight="1">
      <c r="A307" s="129"/>
      <c r="B307" s="129"/>
      <c r="C307" s="129"/>
      <c r="D307" s="129"/>
      <c r="E307" s="129"/>
      <c r="F307" s="129"/>
      <c r="G307" s="129"/>
      <c r="H307" s="129"/>
      <c r="I307" s="129"/>
      <c r="J307" s="129"/>
      <c r="K307" s="145"/>
      <c r="L307" s="145"/>
      <c r="M307" s="145"/>
      <c r="N307" s="145"/>
      <c r="O307" s="129"/>
      <c r="P307" s="129"/>
      <c r="Q307" s="129"/>
      <c r="R307" s="129"/>
      <c r="S307" s="129"/>
      <c r="T307" s="129"/>
      <c r="U307" s="129"/>
      <c r="V307" s="129"/>
      <c r="W307" s="129"/>
      <c r="X307" s="129"/>
      <c r="Y307" s="129"/>
      <c r="Z307" s="129"/>
      <c r="AA307" s="129"/>
      <c r="AB307" s="129"/>
      <c r="AC307" s="129"/>
      <c r="AD307" s="129"/>
      <c r="AE307" s="129"/>
      <c r="AF307" s="129"/>
      <c r="AG307" s="129"/>
      <c r="AH307" s="129"/>
      <c r="AI307" s="129"/>
      <c r="AJ307" s="129"/>
      <c r="AK307" s="129"/>
      <c r="AL307" s="129"/>
      <c r="AM307" s="129"/>
      <c r="AN307" s="129"/>
      <c r="AO307" s="129"/>
      <c r="AP307" s="129"/>
      <c r="AQ307" s="129"/>
      <c r="AR307" s="129"/>
      <c r="AS307" s="129"/>
      <c r="AT307" s="129"/>
      <c r="AU307" s="129"/>
      <c r="AV307" s="129"/>
    </row>
    <row r="308" spans="1:48" ht="15.75" customHeight="1">
      <c r="A308" s="129"/>
      <c r="B308" s="129"/>
      <c r="C308" s="129"/>
      <c r="D308" s="129"/>
      <c r="E308" s="129"/>
      <c r="F308" s="129"/>
      <c r="G308" s="129"/>
      <c r="H308" s="129"/>
      <c r="I308" s="129"/>
      <c r="J308" s="129"/>
      <c r="K308" s="129"/>
      <c r="L308" s="129"/>
      <c r="M308" s="129"/>
      <c r="N308" s="129"/>
      <c r="O308" s="129"/>
      <c r="P308" s="129"/>
      <c r="Q308" s="129"/>
      <c r="R308" s="129"/>
      <c r="S308" s="129"/>
      <c r="T308" s="129"/>
      <c r="U308" s="129"/>
      <c r="V308" s="129"/>
      <c r="W308" s="129"/>
      <c r="X308" s="129"/>
      <c r="Y308" s="129"/>
      <c r="Z308" s="129"/>
      <c r="AA308" s="129"/>
      <c r="AB308" s="129"/>
      <c r="AC308" s="129"/>
      <c r="AD308" s="129"/>
      <c r="AE308" s="129"/>
      <c r="AF308" s="129"/>
      <c r="AG308" s="129"/>
      <c r="AH308" s="129"/>
      <c r="AI308" s="129"/>
      <c r="AJ308" s="129"/>
      <c r="AK308" s="129"/>
      <c r="AL308" s="129"/>
      <c r="AM308" s="129"/>
      <c r="AN308" s="129"/>
      <c r="AO308" s="129"/>
      <c r="AP308" s="129"/>
      <c r="AQ308" s="129"/>
      <c r="AR308" s="129"/>
      <c r="AS308" s="129"/>
      <c r="AT308" s="129"/>
      <c r="AU308" s="129"/>
      <c r="AV308" s="129"/>
    </row>
    <row r="309" spans="1:48" ht="15.75" customHeight="1">
      <c r="A309" s="129"/>
      <c r="B309" s="129"/>
      <c r="C309" s="129"/>
      <c r="D309" s="129"/>
      <c r="E309" s="129"/>
      <c r="F309" s="129"/>
      <c r="G309" s="129"/>
      <c r="H309" s="129"/>
      <c r="I309" s="129"/>
      <c r="J309" s="129"/>
      <c r="K309" s="129"/>
      <c r="L309" s="129"/>
      <c r="M309" s="129"/>
      <c r="N309" s="129"/>
      <c r="O309" s="129"/>
      <c r="P309" s="129"/>
      <c r="Q309" s="129"/>
      <c r="R309" s="129"/>
      <c r="S309" s="129"/>
      <c r="T309" s="129"/>
      <c r="U309" s="129"/>
      <c r="V309" s="129"/>
      <c r="W309" s="129"/>
      <c r="X309" s="129"/>
      <c r="Y309" s="129"/>
      <c r="Z309" s="129"/>
      <c r="AA309" s="129"/>
      <c r="AB309" s="129"/>
      <c r="AC309" s="129"/>
      <c r="AD309" s="129"/>
      <c r="AE309" s="129"/>
      <c r="AF309" s="129"/>
      <c r="AG309" s="129"/>
      <c r="AH309" s="129"/>
      <c r="AI309" s="129"/>
      <c r="AJ309" s="129"/>
      <c r="AK309" s="158"/>
      <c r="AL309" s="129"/>
      <c r="AM309" s="129"/>
      <c r="AN309" s="129"/>
      <c r="AO309" s="129"/>
      <c r="AP309" s="129"/>
      <c r="AQ309" s="129"/>
      <c r="AR309" s="129"/>
      <c r="AS309" s="129"/>
      <c r="AT309" s="129"/>
      <c r="AU309" s="129"/>
      <c r="AV309" s="129"/>
    </row>
    <row r="310" spans="1:48" ht="15.75" customHeight="1">
      <c r="A310" s="129"/>
      <c r="B310" s="129"/>
      <c r="C310" s="129"/>
      <c r="D310" s="129"/>
      <c r="E310" s="129"/>
      <c r="F310" s="129"/>
      <c r="G310" s="129"/>
      <c r="H310" s="129"/>
      <c r="I310" s="129"/>
      <c r="J310" s="129"/>
      <c r="K310" s="129"/>
      <c r="L310" s="129"/>
      <c r="M310" s="129"/>
      <c r="N310" s="129"/>
      <c r="O310" s="129"/>
      <c r="P310" s="129"/>
      <c r="Q310" s="129"/>
      <c r="R310" s="129"/>
      <c r="S310" s="129"/>
      <c r="T310" s="129"/>
      <c r="U310" s="129"/>
      <c r="V310" s="129"/>
      <c r="W310" s="129"/>
      <c r="X310" s="129"/>
      <c r="Y310" s="129"/>
      <c r="Z310" s="129"/>
      <c r="AA310" s="129"/>
      <c r="AB310" s="129"/>
      <c r="AC310" s="129"/>
      <c r="AD310" s="129"/>
      <c r="AE310" s="129"/>
      <c r="AF310" s="129"/>
      <c r="AG310" s="129"/>
      <c r="AH310" s="129"/>
      <c r="AI310" s="129"/>
      <c r="AJ310" s="129"/>
      <c r="AK310" s="129"/>
      <c r="AL310" s="129"/>
      <c r="AM310" s="129"/>
      <c r="AN310" s="129"/>
      <c r="AO310" s="129"/>
      <c r="AP310" s="129"/>
      <c r="AQ310" s="129"/>
      <c r="AR310" s="129"/>
      <c r="AS310" s="129"/>
      <c r="AT310" s="129"/>
      <c r="AU310" s="129"/>
      <c r="AV310" s="129"/>
    </row>
    <row r="311" spans="1:48" ht="15.75" customHeight="1">
      <c r="A311" s="129"/>
      <c r="B311" s="129"/>
      <c r="C311" s="129"/>
      <c r="D311" s="129"/>
      <c r="E311" s="129"/>
      <c r="F311" s="129"/>
      <c r="G311" s="129"/>
      <c r="H311" s="129"/>
      <c r="I311" s="129"/>
      <c r="J311" s="129"/>
      <c r="K311" s="129"/>
      <c r="L311" s="129"/>
      <c r="M311" s="129"/>
      <c r="N311" s="129"/>
      <c r="O311" s="129"/>
      <c r="P311" s="129"/>
      <c r="Q311" s="129"/>
      <c r="R311" s="129"/>
      <c r="S311" s="129"/>
      <c r="T311" s="129"/>
      <c r="U311" s="129"/>
      <c r="V311" s="129"/>
      <c r="W311" s="129"/>
      <c r="X311" s="129"/>
      <c r="Y311" s="129"/>
      <c r="Z311" s="129"/>
      <c r="AA311" s="129"/>
      <c r="AB311" s="129"/>
      <c r="AC311" s="129"/>
      <c r="AD311" s="129"/>
      <c r="AE311" s="129"/>
      <c r="AF311" s="129"/>
      <c r="AG311" s="129"/>
      <c r="AH311" s="129"/>
      <c r="AI311" s="129"/>
      <c r="AJ311" s="129"/>
      <c r="AK311" s="129"/>
      <c r="AL311" s="129"/>
      <c r="AM311" s="129"/>
      <c r="AN311" s="129"/>
      <c r="AO311" s="129"/>
      <c r="AP311" s="129"/>
      <c r="AQ311" s="129"/>
      <c r="AR311" s="129"/>
      <c r="AS311" s="129"/>
      <c r="AT311" s="129"/>
      <c r="AU311" s="129"/>
      <c r="AV311" s="129"/>
    </row>
    <row r="312" spans="1:48" ht="15.75" customHeight="1">
      <c r="A312" s="129"/>
      <c r="B312" s="129"/>
      <c r="C312" s="129"/>
      <c r="D312" s="129"/>
      <c r="E312" s="129"/>
      <c r="F312" s="129"/>
      <c r="G312" s="129"/>
      <c r="H312" s="129"/>
      <c r="I312" s="129"/>
      <c r="J312" s="129"/>
      <c r="K312" s="129"/>
      <c r="L312" s="129"/>
      <c r="M312" s="129"/>
      <c r="N312" s="129"/>
      <c r="O312" s="129"/>
      <c r="P312" s="129"/>
      <c r="Q312" s="129"/>
      <c r="R312" s="129"/>
      <c r="S312" s="129"/>
      <c r="T312" s="129"/>
      <c r="U312" s="129"/>
      <c r="V312" s="129"/>
      <c r="W312" s="129"/>
      <c r="X312" s="129"/>
      <c r="Y312" s="129"/>
      <c r="Z312" s="129"/>
      <c r="AA312" s="129"/>
      <c r="AB312" s="129"/>
      <c r="AC312" s="129"/>
      <c r="AD312" s="129"/>
      <c r="AE312" s="129"/>
      <c r="AF312" s="129"/>
      <c r="AG312" s="129"/>
      <c r="AH312" s="129"/>
      <c r="AI312" s="129"/>
      <c r="AJ312" s="129"/>
      <c r="AK312" s="129"/>
      <c r="AL312" s="129"/>
      <c r="AM312" s="129"/>
      <c r="AN312" s="129"/>
      <c r="AO312" s="129"/>
      <c r="AP312" s="129"/>
      <c r="AQ312" s="129"/>
      <c r="AR312" s="129"/>
      <c r="AS312" s="129"/>
      <c r="AT312" s="129"/>
      <c r="AU312" s="129"/>
      <c r="AV312" s="129"/>
    </row>
    <row r="313" spans="1:48" ht="15.75" customHeight="1">
      <c r="A313" s="129"/>
      <c r="B313" s="129"/>
      <c r="C313" s="129"/>
      <c r="D313" s="129"/>
      <c r="E313" s="129"/>
      <c r="F313" s="129"/>
      <c r="G313" s="129"/>
      <c r="H313" s="129"/>
      <c r="I313" s="129"/>
      <c r="J313" s="129"/>
      <c r="K313" s="129"/>
      <c r="L313" s="129"/>
      <c r="M313" s="129"/>
      <c r="N313" s="129"/>
      <c r="O313" s="129"/>
      <c r="P313" s="129"/>
      <c r="Q313" s="129"/>
      <c r="R313" s="129"/>
      <c r="S313" s="129"/>
      <c r="T313" s="129"/>
      <c r="U313" s="129"/>
      <c r="V313" s="129"/>
      <c r="W313" s="129"/>
      <c r="X313" s="129"/>
      <c r="Y313" s="129"/>
      <c r="Z313" s="129"/>
      <c r="AA313" s="129"/>
      <c r="AB313" s="129"/>
      <c r="AC313" s="129"/>
      <c r="AD313" s="129"/>
      <c r="AE313" s="129"/>
      <c r="AF313" s="129"/>
      <c r="AG313" s="129"/>
      <c r="AH313" s="129"/>
      <c r="AI313" s="129"/>
      <c r="AJ313" s="129"/>
      <c r="AK313" s="129"/>
      <c r="AL313" s="129"/>
      <c r="AM313" s="129"/>
      <c r="AN313" s="129"/>
      <c r="AO313" s="129"/>
      <c r="AP313" s="129"/>
      <c r="AQ313" s="129"/>
      <c r="AR313" s="129"/>
      <c r="AS313" s="129"/>
      <c r="AT313" s="129"/>
      <c r="AU313" s="129"/>
      <c r="AV313" s="129"/>
    </row>
    <row r="314" spans="1:48" ht="15.75" customHeight="1">
      <c r="A314" s="129"/>
      <c r="B314" s="129"/>
      <c r="C314" s="129"/>
      <c r="D314" s="129"/>
      <c r="E314" s="129"/>
      <c r="F314" s="129"/>
      <c r="G314" s="129"/>
      <c r="H314" s="129"/>
      <c r="I314" s="129"/>
      <c r="J314" s="129"/>
      <c r="K314" s="129"/>
      <c r="L314" s="129"/>
      <c r="M314" s="129"/>
      <c r="N314" s="129"/>
      <c r="O314" s="129"/>
      <c r="P314" s="129"/>
      <c r="Q314" s="129"/>
      <c r="R314" s="129"/>
      <c r="S314" s="129"/>
      <c r="T314" s="129"/>
      <c r="U314" s="129"/>
      <c r="V314" s="129"/>
      <c r="W314" s="129"/>
      <c r="X314" s="129"/>
      <c r="Y314" s="129"/>
      <c r="Z314" s="129"/>
      <c r="AA314" s="129"/>
      <c r="AB314" s="129"/>
      <c r="AC314" s="129"/>
      <c r="AD314" s="129"/>
      <c r="AE314" s="129"/>
      <c r="AF314" s="129"/>
      <c r="AG314" s="129"/>
      <c r="AH314" s="129"/>
      <c r="AI314" s="129"/>
      <c r="AJ314" s="129"/>
      <c r="AK314" s="129"/>
      <c r="AL314" s="129"/>
      <c r="AM314" s="129"/>
      <c r="AN314" s="129"/>
      <c r="AO314" s="129"/>
      <c r="AP314" s="129"/>
      <c r="AQ314" s="129"/>
      <c r="AR314" s="129"/>
      <c r="AS314" s="129"/>
      <c r="AT314" s="129"/>
      <c r="AU314" s="129"/>
      <c r="AV314" s="129"/>
    </row>
    <row r="315" spans="1:48" ht="15.75" customHeight="1">
      <c r="A315" s="129"/>
      <c r="B315" s="129"/>
      <c r="C315" s="129"/>
      <c r="D315" s="129"/>
      <c r="E315" s="129"/>
      <c r="F315" s="129"/>
      <c r="G315" s="129"/>
      <c r="H315" s="129"/>
      <c r="I315" s="129"/>
      <c r="J315" s="129"/>
      <c r="K315" s="129"/>
      <c r="L315" s="129"/>
      <c r="M315" s="129"/>
      <c r="N315" s="129"/>
      <c r="O315" s="129"/>
      <c r="P315" s="129"/>
      <c r="Q315" s="129"/>
      <c r="R315" s="129"/>
      <c r="S315" s="129"/>
      <c r="T315" s="129"/>
      <c r="U315" s="129"/>
      <c r="V315" s="129"/>
      <c r="W315" s="129"/>
      <c r="X315" s="129"/>
      <c r="Y315" s="129"/>
      <c r="Z315" s="129"/>
      <c r="AA315" s="129"/>
      <c r="AB315" s="129"/>
      <c r="AC315" s="129"/>
      <c r="AD315" s="129"/>
      <c r="AE315" s="129"/>
      <c r="AF315" s="129"/>
      <c r="AG315" s="129"/>
      <c r="AH315" s="129"/>
      <c r="AI315" s="129"/>
      <c r="AJ315" s="129"/>
      <c r="AK315" s="129"/>
      <c r="AL315" s="129"/>
      <c r="AM315" s="129"/>
      <c r="AN315" s="129"/>
      <c r="AO315" s="129"/>
      <c r="AP315" s="129"/>
      <c r="AQ315" s="129"/>
      <c r="AR315" s="129"/>
      <c r="AS315" s="129"/>
      <c r="AT315" s="129"/>
      <c r="AU315" s="129"/>
      <c r="AV315" s="129"/>
    </row>
    <row r="316" spans="1:48" ht="15.75" customHeight="1">
      <c r="A316" s="129"/>
      <c r="B316" s="129"/>
      <c r="C316" s="129"/>
      <c r="D316" s="129"/>
      <c r="E316" s="129"/>
      <c r="F316" s="129"/>
      <c r="G316" s="129"/>
      <c r="H316" s="129"/>
      <c r="I316" s="129"/>
      <c r="J316" s="129"/>
      <c r="K316" s="129"/>
      <c r="L316" s="129"/>
      <c r="M316" s="129"/>
      <c r="N316" s="129"/>
      <c r="O316" s="129"/>
      <c r="P316" s="129"/>
      <c r="Q316" s="129"/>
      <c r="R316" s="129"/>
      <c r="S316" s="129"/>
      <c r="T316" s="129"/>
      <c r="U316" s="129"/>
      <c r="V316" s="129"/>
      <c r="W316" s="129"/>
      <c r="X316" s="129"/>
      <c r="Y316" s="129"/>
      <c r="Z316" s="129"/>
      <c r="AA316" s="129"/>
      <c r="AB316" s="129"/>
      <c r="AC316" s="129"/>
      <c r="AD316" s="129"/>
      <c r="AE316" s="129"/>
      <c r="AF316" s="129"/>
      <c r="AG316" s="129"/>
      <c r="AH316" s="129"/>
      <c r="AI316" s="129"/>
      <c r="AJ316" s="129"/>
      <c r="AK316" s="129"/>
      <c r="AL316" s="129"/>
      <c r="AM316" s="129"/>
      <c r="AN316" s="129"/>
      <c r="AO316" s="129"/>
      <c r="AP316" s="129"/>
      <c r="AQ316" s="129"/>
      <c r="AR316" s="129"/>
      <c r="AS316" s="129"/>
      <c r="AT316" s="129"/>
      <c r="AU316" s="129"/>
      <c r="AV316" s="129"/>
    </row>
    <row r="317" spans="1:48" ht="15.75" customHeight="1">
      <c r="A317" s="129"/>
      <c r="B317" s="129"/>
      <c r="C317" s="129"/>
      <c r="D317" s="129"/>
      <c r="E317" s="129"/>
      <c r="F317" s="129"/>
      <c r="G317" s="129"/>
      <c r="H317" s="129"/>
      <c r="I317" s="129"/>
      <c r="J317" s="129"/>
      <c r="K317" s="129"/>
      <c r="L317" s="129"/>
      <c r="M317" s="129"/>
      <c r="N317" s="129"/>
      <c r="O317" s="129"/>
      <c r="P317" s="129"/>
      <c r="Q317" s="129"/>
      <c r="R317" s="129"/>
      <c r="S317" s="129"/>
      <c r="T317" s="129"/>
      <c r="U317" s="129"/>
      <c r="V317" s="129"/>
      <c r="W317" s="129"/>
      <c r="X317" s="129"/>
      <c r="Y317" s="129"/>
      <c r="Z317" s="129"/>
      <c r="AA317" s="129"/>
      <c r="AB317" s="129"/>
      <c r="AC317" s="129"/>
      <c r="AD317" s="129"/>
      <c r="AE317" s="129"/>
      <c r="AF317" s="129"/>
      <c r="AG317" s="129"/>
      <c r="AH317" s="129"/>
      <c r="AI317" s="129"/>
      <c r="AJ317" s="129"/>
      <c r="AK317" s="129"/>
      <c r="AL317" s="129"/>
      <c r="AM317" s="129"/>
      <c r="AN317" s="129"/>
      <c r="AO317" s="129"/>
      <c r="AP317" s="129"/>
      <c r="AQ317" s="129"/>
      <c r="AR317" s="129"/>
      <c r="AS317" s="129"/>
      <c r="AT317" s="129"/>
      <c r="AU317" s="129"/>
      <c r="AV317" s="129"/>
    </row>
    <row r="318" spans="1:48" ht="15.75" customHeight="1">
      <c r="A318" s="129"/>
      <c r="B318" s="129"/>
      <c r="C318" s="129"/>
      <c r="D318" s="129"/>
      <c r="E318" s="129"/>
      <c r="F318" s="129"/>
      <c r="G318" s="129"/>
      <c r="H318" s="129"/>
      <c r="I318" s="129"/>
      <c r="J318" s="129"/>
      <c r="K318" s="129"/>
      <c r="L318" s="129"/>
      <c r="M318" s="129"/>
      <c r="N318" s="129"/>
      <c r="O318" s="129"/>
      <c r="P318" s="129"/>
      <c r="Q318" s="129"/>
      <c r="R318" s="129"/>
      <c r="S318" s="129"/>
      <c r="T318" s="129"/>
      <c r="U318" s="129"/>
      <c r="V318" s="129"/>
      <c r="W318" s="129"/>
      <c r="X318" s="129"/>
      <c r="Y318" s="129"/>
      <c r="Z318" s="129"/>
      <c r="AA318" s="129"/>
      <c r="AB318" s="129"/>
      <c r="AC318" s="129"/>
      <c r="AD318" s="129"/>
      <c r="AE318" s="129"/>
      <c r="AF318" s="129"/>
      <c r="AG318" s="129"/>
      <c r="AH318" s="129"/>
      <c r="AI318" s="129"/>
      <c r="AJ318" s="129"/>
      <c r="AK318" s="129"/>
      <c r="AL318" s="129"/>
      <c r="AM318" s="129"/>
      <c r="AN318" s="129"/>
      <c r="AO318" s="129"/>
      <c r="AP318" s="129"/>
      <c r="AQ318" s="129"/>
      <c r="AR318" s="129"/>
      <c r="AS318" s="129"/>
      <c r="AT318" s="129"/>
      <c r="AU318" s="129"/>
      <c r="AV318" s="129"/>
    </row>
    <row r="319" spans="1:48" ht="15.75" customHeight="1">
      <c r="A319" s="129"/>
      <c r="B319" s="129"/>
      <c r="C319" s="129"/>
      <c r="D319" s="129"/>
      <c r="E319" s="129"/>
      <c r="F319" s="129"/>
      <c r="G319" s="129"/>
      <c r="H319" s="129"/>
      <c r="I319" s="129"/>
      <c r="J319" s="129"/>
      <c r="K319" s="129"/>
      <c r="L319" s="129"/>
      <c r="M319" s="129"/>
      <c r="N319" s="129"/>
      <c r="O319" s="129"/>
      <c r="P319" s="129"/>
      <c r="Q319" s="129"/>
      <c r="R319" s="129"/>
      <c r="S319" s="129"/>
      <c r="T319" s="129"/>
      <c r="U319" s="129"/>
      <c r="V319" s="129"/>
      <c r="W319" s="129"/>
      <c r="X319" s="129"/>
      <c r="Y319" s="129"/>
      <c r="Z319" s="129"/>
      <c r="AA319" s="129"/>
      <c r="AB319" s="129"/>
      <c r="AC319" s="129"/>
      <c r="AD319" s="129"/>
      <c r="AE319" s="129"/>
      <c r="AF319" s="129"/>
      <c r="AG319" s="129"/>
      <c r="AH319" s="129"/>
      <c r="AI319" s="129"/>
      <c r="AJ319" s="129"/>
      <c r="AK319" s="129"/>
      <c r="AL319" s="129"/>
      <c r="AM319" s="129"/>
      <c r="AN319" s="129"/>
      <c r="AO319" s="129"/>
      <c r="AP319" s="129"/>
      <c r="AQ319" s="129"/>
      <c r="AR319" s="129"/>
      <c r="AS319" s="129"/>
      <c r="AT319" s="129"/>
      <c r="AU319" s="129"/>
      <c r="AV319" s="129"/>
    </row>
    <row r="320" spans="1:48" ht="15.75" customHeight="1">
      <c r="A320" s="129"/>
      <c r="B320" s="129"/>
      <c r="C320" s="129"/>
      <c r="D320" s="129"/>
      <c r="E320" s="129"/>
      <c r="F320" s="129"/>
      <c r="G320" s="129"/>
      <c r="H320" s="129"/>
      <c r="I320" s="129"/>
      <c r="J320" s="129"/>
      <c r="K320" s="129"/>
      <c r="L320" s="129"/>
      <c r="M320" s="129"/>
      <c r="N320" s="129"/>
      <c r="O320" s="129"/>
      <c r="P320" s="129"/>
      <c r="Q320" s="129"/>
      <c r="R320" s="129"/>
      <c r="S320" s="129"/>
      <c r="T320" s="129"/>
      <c r="U320" s="129"/>
      <c r="V320" s="129"/>
      <c r="W320" s="129"/>
      <c r="X320" s="129"/>
      <c r="Y320" s="129"/>
      <c r="Z320" s="129"/>
      <c r="AA320" s="129"/>
      <c r="AB320" s="129"/>
      <c r="AC320" s="129"/>
      <c r="AD320" s="129"/>
      <c r="AE320" s="129"/>
      <c r="AF320" s="129"/>
      <c r="AG320" s="129"/>
      <c r="AH320" s="129"/>
      <c r="AI320" s="129"/>
      <c r="AJ320" s="129"/>
      <c r="AK320" s="129"/>
      <c r="AL320" s="129"/>
      <c r="AM320" s="129"/>
      <c r="AN320" s="129"/>
      <c r="AO320" s="129"/>
      <c r="AP320" s="129"/>
      <c r="AQ320" s="129"/>
      <c r="AR320" s="129"/>
      <c r="AS320" s="129"/>
      <c r="AT320" s="129"/>
      <c r="AU320" s="129"/>
      <c r="AV320" s="129"/>
    </row>
    <row r="321" spans="1:50" ht="15.75" customHeight="1">
      <c r="A321" s="129"/>
      <c r="B321" s="129"/>
      <c r="C321" s="129"/>
      <c r="D321" s="129"/>
      <c r="E321" s="129"/>
      <c r="F321" s="129"/>
      <c r="G321" s="129"/>
      <c r="H321" s="129"/>
      <c r="I321" s="129"/>
      <c r="J321" s="129"/>
      <c r="K321" s="129"/>
      <c r="L321" s="129"/>
      <c r="M321" s="129"/>
      <c r="N321" s="129"/>
      <c r="O321" s="129"/>
      <c r="P321" s="129"/>
      <c r="Q321" s="129"/>
      <c r="R321" s="129"/>
      <c r="S321" s="129"/>
      <c r="T321" s="129"/>
      <c r="U321" s="129"/>
      <c r="V321" s="129"/>
      <c r="W321" s="129"/>
      <c r="X321" s="129"/>
      <c r="Y321" s="129"/>
      <c r="Z321" s="129"/>
      <c r="AA321" s="129"/>
      <c r="AB321" s="129"/>
      <c r="AC321" s="129"/>
      <c r="AD321" s="129"/>
      <c r="AE321" s="129"/>
      <c r="AF321" s="129"/>
      <c r="AG321" s="129"/>
      <c r="AH321" s="129"/>
      <c r="AI321" s="129"/>
      <c r="AJ321" s="129"/>
      <c r="AK321" s="129"/>
      <c r="AL321" s="129"/>
      <c r="AM321" s="129"/>
      <c r="AN321" s="129"/>
      <c r="AO321" s="129"/>
      <c r="AP321" s="129"/>
      <c r="AQ321" s="129"/>
      <c r="AR321" s="129"/>
      <c r="AS321" s="129"/>
      <c r="AT321" s="129"/>
      <c r="AU321" s="129"/>
      <c r="AV321" s="129"/>
    </row>
    <row r="322" spans="1:50" ht="15.75" customHeight="1">
      <c r="A322" s="129"/>
      <c r="B322" s="129"/>
      <c r="C322" s="129"/>
      <c r="D322" s="129"/>
      <c r="E322" s="129"/>
      <c r="F322" s="129"/>
      <c r="G322" s="129"/>
      <c r="H322" s="129"/>
      <c r="I322" s="129"/>
      <c r="J322" s="129"/>
      <c r="K322" s="129"/>
      <c r="L322" s="129"/>
      <c r="M322" s="129"/>
      <c r="N322" s="129"/>
      <c r="O322" s="129"/>
      <c r="P322" s="129"/>
      <c r="Q322" s="129"/>
      <c r="R322" s="129"/>
      <c r="S322" s="129"/>
      <c r="T322" s="129"/>
      <c r="U322" s="129"/>
      <c r="V322" s="129"/>
      <c r="W322" s="129"/>
      <c r="X322" s="129"/>
      <c r="Y322" s="129"/>
      <c r="Z322" s="129"/>
      <c r="AA322" s="129"/>
      <c r="AB322" s="129"/>
      <c r="AC322" s="129"/>
      <c r="AD322" s="129"/>
      <c r="AE322" s="129"/>
      <c r="AF322" s="129"/>
      <c r="AG322" s="129"/>
      <c r="AH322" s="129"/>
      <c r="AI322" s="129"/>
      <c r="AJ322" s="129"/>
      <c r="AK322" s="129"/>
      <c r="AL322" s="129"/>
      <c r="AM322" s="129"/>
      <c r="AN322" s="129"/>
      <c r="AO322" s="129"/>
      <c r="AP322" s="129"/>
      <c r="AQ322" s="129"/>
      <c r="AR322" s="129"/>
      <c r="AS322" s="129"/>
      <c r="AT322" s="129"/>
      <c r="AU322" s="129"/>
      <c r="AV322" s="129"/>
    </row>
    <row r="323" spans="1:50" ht="15.75" customHeight="1">
      <c r="A323" s="129"/>
      <c r="B323" s="129"/>
      <c r="C323" s="129"/>
      <c r="D323" s="129"/>
      <c r="E323" s="129"/>
      <c r="F323" s="129"/>
      <c r="G323" s="129"/>
      <c r="H323" s="129"/>
      <c r="I323" s="129"/>
      <c r="J323" s="129"/>
      <c r="K323" s="129"/>
      <c r="L323" s="129"/>
      <c r="M323" s="129"/>
      <c r="N323" s="129"/>
      <c r="O323" s="129"/>
      <c r="P323" s="129"/>
      <c r="Q323" s="129"/>
      <c r="R323" s="129"/>
      <c r="S323" s="129"/>
      <c r="T323" s="129"/>
      <c r="U323" s="129"/>
      <c r="V323" s="129"/>
      <c r="W323" s="129"/>
      <c r="X323" s="129"/>
      <c r="Y323" s="129"/>
      <c r="Z323" s="129"/>
      <c r="AA323" s="129"/>
      <c r="AB323" s="129"/>
      <c r="AC323" s="129"/>
      <c r="AD323" s="129"/>
      <c r="AE323" s="129"/>
      <c r="AF323" s="129"/>
      <c r="AG323" s="129"/>
      <c r="AH323" s="129"/>
      <c r="AI323" s="129"/>
      <c r="AJ323" s="129"/>
      <c r="AK323" s="129"/>
      <c r="AL323" s="129"/>
      <c r="AM323" s="129"/>
      <c r="AN323" s="129"/>
      <c r="AO323" s="129"/>
      <c r="AP323" s="129"/>
      <c r="AQ323" s="129"/>
      <c r="AR323" s="129"/>
      <c r="AS323" s="129"/>
      <c r="AT323" s="129"/>
      <c r="AU323" s="129"/>
      <c r="AV323" s="129"/>
    </row>
    <row r="324" spans="1:50" ht="15.75" hidden="1" customHeight="1">
      <c r="A324" s="129"/>
      <c r="B324" s="129"/>
      <c r="D324" s="98"/>
      <c r="E324" s="98"/>
      <c r="F324" s="98"/>
      <c r="G324" s="98"/>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165"/>
      <c r="AG324" s="165"/>
      <c r="AH324" s="165"/>
      <c r="AI324" s="165"/>
      <c r="AJ324" s="129"/>
      <c r="AK324" s="129"/>
      <c r="AL324" s="129"/>
      <c r="AM324" s="129"/>
      <c r="AN324" s="129"/>
      <c r="AO324" s="129"/>
      <c r="AP324" s="129"/>
      <c r="AQ324" s="129"/>
      <c r="AR324" s="129"/>
      <c r="AS324" s="129"/>
      <c r="AT324" s="129"/>
      <c r="AU324" s="129"/>
      <c r="AV324" s="129"/>
      <c r="AW324" s="129"/>
      <c r="AX324" s="129"/>
    </row>
    <row r="325" spans="1:50" ht="15.75" hidden="1" customHeight="1">
      <c r="A325" s="129"/>
      <c r="B325" s="129"/>
      <c r="E325" s="166">
        <v>1</v>
      </c>
      <c r="F325" s="166">
        <f t="shared" ref="F325:K325" si="74">E325+1</f>
        <v>2</v>
      </c>
      <c r="G325" s="166">
        <f t="shared" si="74"/>
        <v>3</v>
      </c>
      <c r="H325" s="166">
        <f t="shared" si="74"/>
        <v>4</v>
      </c>
      <c r="I325" s="166">
        <f t="shared" si="74"/>
        <v>5</v>
      </c>
      <c r="J325" s="166">
        <f t="shared" si="74"/>
        <v>6</v>
      </c>
      <c r="K325" s="166">
        <f t="shared" si="74"/>
        <v>7</v>
      </c>
      <c r="AG325" s="129" t="e">
        <f>I328</f>
        <v>#VALUE!</v>
      </c>
      <c r="AH325" s="129"/>
      <c r="AI325" s="129"/>
      <c r="AJ325" s="129"/>
      <c r="AK325" s="129"/>
    </row>
    <row r="326" spans="1:50" ht="85.5" hidden="1" customHeight="1">
      <c r="E326" s="96" t="s">
        <v>2064</v>
      </c>
      <c r="F326" s="96" t="s">
        <v>2388</v>
      </c>
      <c r="G326" s="471" t="s">
        <v>2382</v>
      </c>
      <c r="H326" s="471" t="s">
        <v>2383</v>
      </c>
      <c r="I326" s="96" t="s">
        <v>2191</v>
      </c>
      <c r="J326" s="96" t="s">
        <v>2103</v>
      </c>
      <c r="K326" s="11" t="s">
        <v>2408</v>
      </c>
      <c r="AG326" s="129"/>
      <c r="AH326" s="129"/>
      <c r="AI326" s="129"/>
      <c r="AJ326" s="129"/>
      <c r="AK326" s="129"/>
    </row>
    <row r="327" spans="1:50" ht="15.75" hidden="1" customHeight="1">
      <c r="D327" s="105">
        <v>1</v>
      </c>
      <c r="E327" s="465"/>
      <c r="F327" s="97"/>
      <c r="G327" s="97"/>
      <c r="H327" s="97"/>
      <c r="I327" s="192"/>
      <c r="J327" s="192"/>
      <c r="K327" s="192"/>
      <c r="AG327" s="129"/>
      <c r="AH327" s="129"/>
      <c r="AI327" s="129"/>
      <c r="AJ327" s="129"/>
      <c r="AK327" s="129"/>
    </row>
    <row r="328" spans="1:50" ht="15.75" hidden="1" customHeight="1">
      <c r="D328" s="105">
        <f>D327+1</f>
        <v>2</v>
      </c>
      <c r="E328" s="466" t="s">
        <v>3189</v>
      </c>
      <c r="F328" s="107" t="str">
        <f>IF(F$376="Yes","Maximum baseline window area is 15% of floor area per Option 1 UA % reduction calculation (Section R402.1.5).","Baseline and proposed window areas are equal.")</f>
        <v>Maximum baseline window area is 15% of floor area per Option 1 UA % reduction calculation (Section R402.1.5).</v>
      </c>
      <c r="G328" s="475" t="s">
        <v>2065</v>
      </c>
      <c r="H328" s="475" t="s">
        <v>2066</v>
      </c>
      <c r="I328" s="1044" t="e">
        <f>IF(G364&lt;&gt;"",G364,IF(AND(N39&gt;0,H39&gt;0,AND(N39&lt;=H39,N40&gt;=Section_EnergyCreditResults),SUM(O64:O225)=0),"UA Qualifies. Please check for complete Component Descriptions","Proposed design does not meet prescriptive path requirements."))</f>
        <v>#VALUE!</v>
      </c>
      <c r="J328" s="481" t="str">
        <f>F$634</f>
        <v>Code Baseline</v>
      </c>
      <c r="K328" s="495" t="str">
        <f>IF(F$376="Yes","No exempt window or door areas", "Up to 15 sf exempt window and 24 sf exempt door allowable")</f>
        <v>No exempt window or door areas</v>
      </c>
      <c r="AI328" s="129"/>
      <c r="AJ328" s="129"/>
      <c r="AK328" s="129"/>
    </row>
    <row r="329" spans="1:50" ht="15.75" hidden="1" customHeight="1">
      <c r="D329" s="105">
        <f t="shared" ref="D329:D332" si="75">D328+1</f>
        <v>3</v>
      </c>
      <c r="E329" s="466" t="s">
        <v>2407</v>
      </c>
      <c r="F329" s="107" t="s">
        <v>3190</v>
      </c>
      <c r="G329" s="475" t="s">
        <v>2065</v>
      </c>
      <c r="H329" s="475" t="s">
        <v>2066</v>
      </c>
      <c r="I329" s="192" t="str">
        <f>IF(G$364&lt;&gt;"",G$364,IF(N$39&lt;H$39,"Proposed design has lower (better) UA than baseline","Proposed design has higher (worse) UA than baseline."))</f>
        <v>Proposed design has lower (better) UA than baseline</v>
      </c>
      <c r="J329" s="481" t="str">
        <f>F$634</f>
        <v>Code Baseline</v>
      </c>
      <c r="K329" s="495" t="s">
        <v>3191</v>
      </c>
      <c r="AI329" s="129"/>
      <c r="AJ329" s="129"/>
      <c r="AK329" s="129"/>
    </row>
    <row r="330" spans="1:50" ht="15.75" hidden="1" customHeight="1">
      <c r="D330" s="105">
        <f t="shared" si="75"/>
        <v>4</v>
      </c>
      <c r="E330" s="467" t="s">
        <v>3147</v>
      </c>
      <c r="F330" s="107" t="str">
        <f>IF(F$376="Yes","Maximum baseline window area is 15% of floor area per Option 1 UA % reduction calculation (Section R402.1.5).","Baseline and proposed window areas are equal.")</f>
        <v>Maximum baseline window area is 15% of floor area per Option 1 UA % reduction calculation (Section R402.1.5).</v>
      </c>
      <c r="G330" s="475" t="s">
        <v>2065</v>
      </c>
      <c r="H330" s="475" t="s">
        <v>2065</v>
      </c>
      <c r="I330" s="192" t="str">
        <f>IF(G$364&lt;&gt;"",G$364,IF(N$39&lt;H$39,"Proposed design has lower (better) UA than baseline","Proposed design has higher (worse) UA than baseline."))</f>
        <v>Proposed design has lower (better) UA than baseline</v>
      </c>
      <c r="J330" s="481" t="str">
        <f>G634</f>
        <v>Existing Baseline</v>
      </c>
      <c r="K330" s="495" t="str">
        <f>CONCATENATE(IF(F$376="Yes","No exempt window or door areas. ", "Up to 15 sf exempt window and 24 sf exempt door allowable. "), "Enter baseline design details to right of proposed design below")</f>
        <v>No exempt window or door areas. Enter baseline design details to right of proposed design below</v>
      </c>
      <c r="AI330" s="129"/>
      <c r="AJ330" s="129"/>
      <c r="AK330" s="129"/>
    </row>
    <row r="331" spans="1:50" ht="15.75" hidden="1" customHeight="1">
      <c r="D331" s="105">
        <f t="shared" si="75"/>
        <v>5</v>
      </c>
      <c r="E331" s="467" t="s">
        <v>3146</v>
      </c>
      <c r="F331" s="100"/>
      <c r="G331" s="475" t="s">
        <v>2065</v>
      </c>
      <c r="H331" s="475" t="s">
        <v>2066</v>
      </c>
      <c r="I331" s="192"/>
      <c r="J331" s="481"/>
      <c r="K331" s="495" t="s">
        <v>3178</v>
      </c>
      <c r="AI331" s="129"/>
      <c r="AJ331" s="129"/>
      <c r="AK331" s="129"/>
    </row>
    <row r="332" spans="1:50" ht="15.75" hidden="1" customHeight="1">
      <c r="D332" s="105">
        <f t="shared" si="75"/>
        <v>6</v>
      </c>
      <c r="E332" s="467" t="s">
        <v>3222</v>
      </c>
      <c r="F332" s="494" t="s">
        <v>2077</v>
      </c>
      <c r="G332" s="475" t="s">
        <v>2171</v>
      </c>
      <c r="H332" s="475" t="s">
        <v>2066</v>
      </c>
      <c r="I332" s="192"/>
      <c r="J332" s="192"/>
      <c r="K332" s="495" t="s">
        <v>3177</v>
      </c>
      <c r="AI332" s="129"/>
      <c r="AJ332" s="129"/>
      <c r="AK332" s="129"/>
    </row>
    <row r="333" spans="1:50" ht="23.25" hidden="1" customHeight="1">
      <c r="E333" s="106" t="s">
        <v>2381</v>
      </c>
      <c r="F333" s="470" t="str">
        <f>VLOOKUP(Menu_UseOfCalculator,Table_UseOfCalculator,F325, FALSE)</f>
        <v>Maximum baseline window area is 15% of floor area.</v>
      </c>
      <c r="G333" s="470" t="str">
        <f>VLOOKUP(Menu_UseOfCalculator,Table_UseOfCalculator,3, FALSE)</f>
        <v>Show</v>
      </c>
      <c r="H333" s="470" t="str">
        <f>VLOOKUP(Menu_UseOfCalculator,Table_UseOfCalculator,4, FALSE)</f>
        <v>Hide</v>
      </c>
      <c r="I333" s="192" t="str">
        <f>IF(AND(Menu_UseOfCalculator=MenuItem_UserDefinedBaseline,Menu_ProjectType&lt;&gt;"New Construction")," compared to user-defined baseline UA. Check required % reduction compared to Addition's UA.",IFERROR(IF(G364&lt;&gt;"","",IF(N$39&lt;H$39,CONCATENATE(", Proposed UA is better than baseline by ",ROUND(N$41*100,0),"%"),CONCATENATE(". Proposed UA exceeds (i.e. is worse than) that of baseline by ",-ROUND(N$41*100,0),"%"))),""))</f>
        <v>, Proposed UA is better than baseline by 4%</v>
      </c>
      <c r="J333" s="192"/>
      <c r="K333" s="192"/>
      <c r="AK333" s="129"/>
    </row>
    <row r="334" spans="1:50" ht="15.75" hidden="1" customHeight="1">
      <c r="H334" s="12" t="s">
        <v>2547</v>
      </c>
      <c r="I334" s="308" t="str">
        <f>IF(I333&lt;&gt;"",IF(N42&gt;=0,CONCATENATE("UA Reduction = ",ROUND(N42,2)),CONCATENATE("UA Reduction = ",ROUND(N42,2)," is negative")),"Correct errors below")</f>
        <v>UA Reduction = 10.72</v>
      </c>
      <c r="J334" s="397"/>
      <c r="K334" s="397"/>
      <c r="AK334" s="129"/>
    </row>
    <row r="335" spans="1:50" ht="15.75" hidden="1" customHeight="1">
      <c r="H335" s="12"/>
      <c r="I335" s="397"/>
      <c r="J335" s="397"/>
      <c r="K335" s="397"/>
      <c r="AK335" s="129"/>
    </row>
    <row r="336" spans="1:50" ht="15.75" hidden="1" customHeight="1">
      <c r="E336" s="1066" t="s">
        <v>3213</v>
      </c>
      <c r="F336" s="917"/>
      <c r="G336" s="917"/>
      <c r="H336" s="1067"/>
      <c r="I336" s="1069" t="s">
        <v>3220</v>
      </c>
      <c r="J336" s="1068"/>
      <c r="K336" s="1068"/>
      <c r="AK336" s="129"/>
    </row>
    <row r="337" spans="5:37" ht="15.75" hidden="1" customHeight="1">
      <c r="E337" s="678"/>
      <c r="F337" s="656"/>
      <c r="G337" s="656"/>
      <c r="H337" s="1064"/>
      <c r="I337" s="750" t="s">
        <v>3221</v>
      </c>
      <c r="J337" s="1065" t="str">
        <f>IF(Menu_UseOfCalculator=Item_Use_CompleteForms,"",IF(AND(Menu_UseOfCalculator=MenuItem_UserDefinedBaseline,Menu_ProjectType&lt;&gt;"New Construction")," -",IFERROR(IF(G364&lt;&gt;"","",IF(N$39&lt;H$39,"PASS","FAIL")),"")))</f>
        <v>PASS</v>
      </c>
      <c r="K337" s="1065">
        <f>IF(OR(J337="PASS",J337=""),0,1)</f>
        <v>0</v>
      </c>
      <c r="AK337" s="129"/>
    </row>
    <row r="338" spans="5:37" ht="15.75" hidden="1" customHeight="1">
      <c r="H338" s="12"/>
      <c r="I338" s="134" t="str">
        <f>F787</f>
        <v>Option 1 Target UA Pass/Fail</v>
      </c>
      <c r="J338" s="397" t="str">
        <f>IFERROR(IF(Menu_UseOfCalculator=Item_Use_CompleteForms,"",G787),"")</f>
        <v>PASS</v>
      </c>
      <c r="K338" s="397">
        <f>IF(OR(J338="PASS",J338=""),0,1)</f>
        <v>0</v>
      </c>
      <c r="AK338" s="129"/>
    </row>
    <row r="339" spans="5:37" ht="15.75" hidden="1" customHeight="1">
      <c r="H339" s="12"/>
      <c r="I339" s="135" t="s">
        <v>3214</v>
      </c>
      <c r="J339" s="397" t="str">
        <f>G788</f>
        <v>PASS</v>
      </c>
      <c r="K339" s="397">
        <f>IF(OR(J339="PASS",J339=""),0,1)</f>
        <v>0</v>
      </c>
      <c r="AK339" s="129"/>
    </row>
    <row r="340" spans="5:37" ht="15.75" hidden="1" customHeight="1">
      <c r="I340" s="40" t="s">
        <v>3194</v>
      </c>
      <c r="J340" s="11" t="str">
        <f>IF(Menu_UseOfCalculator=MenuItem_NonDwellingUnit,"PASS",IF(N40&gt;=H40,"PASS","FAIL"))</f>
        <v>PASS</v>
      </c>
      <c r="K340" s="397">
        <f>IF(OR(J340="PASS",J340=""),0,1)</f>
        <v>0</v>
      </c>
      <c r="AK340" s="129"/>
    </row>
    <row r="341" spans="5:37" ht="15.75" hidden="1" customHeight="1">
      <c r="I341" s="40" t="s">
        <v>3210</v>
      </c>
      <c r="J341" s="11" t="str">
        <f>IF(Menu_UseOfCalculator=MenuItem_UFactorPath,IF(SUM(J29:J37)&gt;0,"FAIL","PASS"),"")</f>
        <v/>
      </c>
      <c r="K341" s="397">
        <f>IF(OR(J341="PASS",J341=""),0,1)</f>
        <v>0</v>
      </c>
      <c r="AK341" s="129"/>
    </row>
    <row r="342" spans="5:37" ht="15.75" hidden="1" customHeight="1">
      <c r="I342" s="601" t="s">
        <v>3193</v>
      </c>
      <c r="J342" s="1070" t="str">
        <f>IF(SUM(K337:K341)&gt;0,"FAIL","PASS")</f>
        <v>PASS</v>
      </c>
      <c r="AK342" s="129"/>
    </row>
    <row r="343" spans="5:37" ht="15.75" hidden="1" customHeight="1">
      <c r="K343" s="397"/>
      <c r="AK343" s="129"/>
    </row>
    <row r="344" spans="5:37" ht="15.75" hidden="1" customHeight="1">
      <c r="E344" s="946" t="s">
        <v>2967</v>
      </c>
      <c r="F344" s="76" t="str">
        <f>K399</f>
        <v>WSEC 2021</v>
      </c>
      <c r="G344" s="475" t="s">
        <v>2525</v>
      </c>
      <c r="K344" s="397"/>
      <c r="AK344" s="129"/>
    </row>
    <row r="345" spans="5:37" ht="15.75" hidden="1" customHeight="1">
      <c r="E345" s="946" t="s">
        <v>2969</v>
      </c>
      <c r="F345" s="76" t="str">
        <f>K400</f>
        <v>WSEC 2018</v>
      </c>
      <c r="G345" s="475" t="s">
        <v>2525</v>
      </c>
      <c r="K345" s="397"/>
      <c r="AK345" s="129"/>
    </row>
    <row r="346" spans="5:37" ht="15.75" hidden="1" customHeight="1">
      <c r="E346" s="1035" t="s">
        <v>3179</v>
      </c>
      <c r="F346" s="76"/>
      <c r="G346" s="475" t="s">
        <v>2525</v>
      </c>
      <c r="I346" s="397"/>
      <c r="J346" s="397"/>
      <c r="K346" s="397"/>
      <c r="AK346" s="129"/>
    </row>
    <row r="347" spans="5:37" ht="15.75" hidden="1" customHeight="1">
      <c r="E347" s="398" t="s">
        <v>2327</v>
      </c>
      <c r="F347" s="196" t="s">
        <v>2067</v>
      </c>
      <c r="G347" s="1025" t="str">
        <f>IF(F381="No","Hide","Show")</f>
        <v>Hide</v>
      </c>
      <c r="H347" s="1026" t="s">
        <v>3154</v>
      </c>
      <c r="I347" s="397"/>
      <c r="J347" s="397"/>
      <c r="K347" s="397"/>
      <c r="AK347" s="129"/>
    </row>
    <row r="348" spans="5:37" ht="15.75" hidden="1" customHeight="1">
      <c r="E348" s="398" t="s">
        <v>2968</v>
      </c>
      <c r="F348" s="196" t="s">
        <v>2067</v>
      </c>
      <c r="G348" s="842">
        <f>IF(Menu_CodeVersion="WSEC 2018",2018,2021)</f>
        <v>2021</v>
      </c>
      <c r="H348" s="96"/>
      <c r="AK348" s="129"/>
    </row>
    <row r="349" spans="5:37" ht="15.75" hidden="1" customHeight="1">
      <c r="E349" s="398" t="s">
        <v>2409</v>
      </c>
      <c r="F349" s="196" t="s">
        <v>2067</v>
      </c>
      <c r="G349" s="474" t="str">
        <f>IF(Menu_UseOfCalculator=Item_Use_CompleteForms,"Hide","Show")</f>
        <v>Show</v>
      </c>
      <c r="H349" s="96"/>
      <c r="AK349" s="129"/>
    </row>
    <row r="350" spans="5:37" ht="15.75" hidden="1" customHeight="1">
      <c r="E350" s="496"/>
      <c r="F350" s="40"/>
      <c r="G350" s="497"/>
      <c r="H350" s="96"/>
      <c r="AK350" s="129"/>
    </row>
    <row r="351" spans="5:37" ht="15.75" hidden="1" customHeight="1">
      <c r="E351" s="190" t="s">
        <v>2203</v>
      </c>
      <c r="F351" s="96" t="s">
        <v>2205</v>
      </c>
      <c r="H351" s="96"/>
      <c r="I351" s="96"/>
      <c r="AH351" s="129"/>
      <c r="AK351" s="129"/>
    </row>
    <row r="352" spans="5:37" ht="15.75" hidden="1" customHeight="1">
      <c r="E352" s="187" t="s">
        <v>2193</v>
      </c>
      <c r="F352" s="76">
        <f>P84</f>
        <v>0</v>
      </c>
      <c r="G352" s="76" t="str">
        <f>IF(F352&gt;0,CONCATENATE("- ",E352),"")</f>
        <v/>
      </c>
      <c r="H352" s="96"/>
      <c r="I352" s="11" t="s">
        <v>2384</v>
      </c>
      <c r="M352" s="96" t="s">
        <v>2385</v>
      </c>
      <c r="O352" s="96" t="s">
        <v>2524</v>
      </c>
      <c r="AH352" s="129"/>
      <c r="AK352" s="129"/>
    </row>
    <row r="353" spans="4:37" ht="15.75" hidden="1" customHeight="1">
      <c r="E353" s="187" t="s">
        <v>2194</v>
      </c>
      <c r="F353" s="76">
        <f>P96</f>
        <v>0</v>
      </c>
      <c r="G353" s="76" t="str">
        <f t="shared" ref="G353:G359" si="76">IF(F353&gt;0,CONCATENATE("- ",E353),"")</f>
        <v/>
      </c>
      <c r="H353" s="96"/>
      <c r="I353" s="97"/>
      <c r="M353" s="97"/>
      <c r="O353" s="97"/>
      <c r="AH353" s="129"/>
      <c r="AK353" s="129"/>
    </row>
    <row r="354" spans="4:37" ht="15.75" hidden="1" customHeight="1">
      <c r="E354" s="187" t="s">
        <v>1335</v>
      </c>
      <c r="F354" s="76">
        <f>P164</f>
        <v>0</v>
      </c>
      <c r="G354" s="76" t="str">
        <f t="shared" si="76"/>
        <v/>
      </c>
      <c r="H354" s="96"/>
      <c r="I354" s="472" t="s">
        <v>2171</v>
      </c>
      <c r="M354" s="99" t="s">
        <v>2066</v>
      </c>
      <c r="O354" s="99" t="s">
        <v>2525</v>
      </c>
      <c r="AH354" s="129"/>
      <c r="AK354" s="129"/>
    </row>
    <row r="355" spans="4:37" ht="15.75" hidden="1" customHeight="1">
      <c r="E355" s="107" t="s">
        <v>1966</v>
      </c>
      <c r="F355" s="76">
        <f>P176</f>
        <v>0</v>
      </c>
      <c r="G355" s="76" t="str">
        <f t="shared" si="76"/>
        <v/>
      </c>
      <c r="H355" s="96"/>
      <c r="I355" s="472" t="s">
        <v>2172</v>
      </c>
      <c r="M355" s="100" t="s">
        <v>2065</v>
      </c>
      <c r="O355" s="100" t="s">
        <v>2340</v>
      </c>
      <c r="AK355" s="129"/>
    </row>
    <row r="356" spans="4:37" ht="15.75" hidden="1" customHeight="1">
      <c r="E356" s="107" t="s">
        <v>2201</v>
      </c>
      <c r="F356" s="76">
        <f>P191</f>
        <v>0</v>
      </c>
      <c r="G356" s="76" t="str">
        <f t="shared" si="76"/>
        <v/>
      </c>
      <c r="H356" s="96"/>
      <c r="I356" s="473" t="s">
        <v>2065</v>
      </c>
      <c r="AK356" s="129"/>
    </row>
    <row r="357" spans="4:37" ht="15.75" hidden="1" customHeight="1">
      <c r="E357" s="107" t="s">
        <v>2251</v>
      </c>
      <c r="F357" s="76">
        <f>P203</f>
        <v>0</v>
      </c>
      <c r="G357" s="76" t="str">
        <f t="shared" si="76"/>
        <v/>
      </c>
      <c r="H357" s="96"/>
      <c r="AK357" s="129"/>
    </row>
    <row r="358" spans="4:37" ht="15.75" hidden="1" customHeight="1">
      <c r="E358" s="107" t="s">
        <v>2195</v>
      </c>
      <c r="F358" s="76">
        <f>P214</f>
        <v>0</v>
      </c>
      <c r="G358" s="76" t="str">
        <f t="shared" si="76"/>
        <v/>
      </c>
      <c r="AK358" s="129"/>
    </row>
    <row r="359" spans="4:37" ht="15.75" hidden="1" customHeight="1">
      <c r="E359" s="107" t="s">
        <v>2202</v>
      </c>
      <c r="F359" s="76">
        <f>P225</f>
        <v>0</v>
      </c>
      <c r="G359" s="76" t="str">
        <f t="shared" si="76"/>
        <v/>
      </c>
      <c r="N359" s="40"/>
      <c r="O359" s="200"/>
      <c r="AK359" s="129"/>
    </row>
    <row r="360" spans="4:37" ht="15.75" hidden="1" customHeight="1">
      <c r="E360" s="107" t="s">
        <v>2203</v>
      </c>
      <c r="F360" s="76" t="str">
        <f>CONCATENATE(G352,G353,G354,G355,G356,G357,G358,G359)</f>
        <v/>
      </c>
      <c r="G360" s="189" t="str">
        <f>IF(F360="","",CONCATENATE("Review required for custom entries: ",G352,G353,G354,G355,G356,G357,G358,G359))</f>
        <v/>
      </c>
      <c r="N360" s="40"/>
      <c r="O360" s="200"/>
      <c r="AK360" s="129"/>
    </row>
    <row r="361" spans="4:37" ht="15.75" hidden="1" customHeight="1">
      <c r="E361" s="190" t="s">
        <v>2702</v>
      </c>
      <c r="F361" s="76"/>
      <c r="G361" s="76"/>
      <c r="N361" s="40"/>
      <c r="O361" s="200"/>
      <c r="AK361" s="129"/>
    </row>
    <row r="362" spans="4:37" ht="15.75" hidden="1" customHeight="1">
      <c r="E362" s="107" t="s">
        <v>2703</v>
      </c>
      <c r="F362" s="76" t="str">
        <f>IF(Menu_UseOfCalculator=MenuItem_UserDefinedBaseline,"Include","")</f>
        <v/>
      </c>
      <c r="G362" s="189" t="str">
        <f>IF(F362="","","Review of Baseline Required - ")</f>
        <v/>
      </c>
      <c r="N362" s="40"/>
      <c r="O362" s="200"/>
      <c r="AK362" s="129"/>
    </row>
    <row r="363" spans="4:37" ht="15.75" hidden="1" customHeight="1">
      <c r="E363" s="688" t="s">
        <v>2704</v>
      </c>
      <c r="F363" s="188" t="str">
        <f>CONCATENATE(G352,G353,G354,G355,G356,G357,G358,G359)</f>
        <v/>
      </c>
      <c r="G363" s="689" t="str">
        <f>IF(AND(G360="",G362=""),"",CONCATENATE("Note: ",G362," ",G360))</f>
        <v/>
      </c>
      <c r="N363" s="40"/>
      <c r="O363" s="200"/>
      <c r="AK363" s="129"/>
    </row>
    <row r="364" spans="4:37" ht="15.75" hidden="1" customHeight="1">
      <c r="E364" s="96" t="s">
        <v>2204</v>
      </c>
      <c r="G364" s="76" t="str">
        <f>IF(SUBTOTAL(109,O74:O225)=0,"","Correct Missing Inputs or Errors Below")</f>
        <v/>
      </c>
      <c r="N364" s="40"/>
      <c r="O364" s="200"/>
      <c r="AK364" s="129"/>
    </row>
    <row r="365" spans="4:37" ht="15.75" hidden="1" customHeight="1">
      <c r="N365" s="40"/>
      <c r="O365" s="200"/>
      <c r="AK365" s="129"/>
    </row>
    <row r="366" spans="4:37" ht="15.75" hidden="1" customHeight="1">
      <c r="D366" s="98"/>
      <c r="E366" s="421" t="s">
        <v>3148</v>
      </c>
      <c r="F366" s="98"/>
      <c r="G366" s="98"/>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row>
    <row r="367" spans="4:37" ht="15.75" hidden="1" customHeight="1">
      <c r="N367" s="40"/>
      <c r="O367" s="200"/>
      <c r="AK367" s="129"/>
    </row>
    <row r="368" spans="4:37" ht="15.75" hidden="1" customHeight="1">
      <c r="E368" s="601" t="s">
        <v>3149</v>
      </c>
      <c r="F368" s="116" t="str">
        <f>Menu_Option1</f>
        <v>Not Selected</v>
      </c>
      <c r="N368" s="40"/>
      <c r="O368" s="200"/>
      <c r="AK368" s="129"/>
    </row>
    <row r="369" spans="4:37" ht="15.75" hidden="1" customHeight="1">
      <c r="E369" s="40"/>
      <c r="F369" s="96" t="str">
        <f>MenuItem_WSEC2018</f>
        <v>WSEC 2018</v>
      </c>
      <c r="G369" s="96" t="str">
        <f>K399</f>
        <v>WSEC 2021</v>
      </c>
      <c r="N369" s="40"/>
      <c r="O369" s="200"/>
      <c r="AK369" s="129"/>
    </row>
    <row r="370" spans="4:37" ht="15.75" hidden="1" customHeight="1">
      <c r="F370" s="37">
        <v>1</v>
      </c>
      <c r="G370" s="37">
        <v>1</v>
      </c>
      <c r="N370" s="40"/>
      <c r="O370" s="200"/>
      <c r="AK370" s="129"/>
    </row>
    <row r="371" spans="4:37" ht="15.75" hidden="1" customHeight="1">
      <c r="F371" s="11" t="str">
        <f>H429</f>
        <v>Option 1.3</v>
      </c>
      <c r="G371" s="11" t="str">
        <f>H411</f>
        <v>Option 1.2</v>
      </c>
      <c r="N371" s="40"/>
      <c r="O371" s="200"/>
      <c r="AK371" s="129"/>
    </row>
    <row r="372" spans="4:37" ht="15.75" hidden="1" customHeight="1">
      <c r="F372" s="11" t="str">
        <f>H430</f>
        <v>Option 1.4</v>
      </c>
      <c r="G372" s="11" t="str">
        <f>H412</f>
        <v>Option 1.3</v>
      </c>
      <c r="N372" s="40"/>
      <c r="O372" s="200"/>
      <c r="AK372" s="129"/>
    </row>
    <row r="373" spans="4:37" ht="15.75" hidden="1" customHeight="1">
      <c r="F373" s="11" t="str">
        <f>H431</f>
        <v>Option 1.5</v>
      </c>
      <c r="G373" s="11" t="str">
        <f>H413</f>
        <v>Option 1.4</v>
      </c>
      <c r="N373" s="40"/>
      <c r="O373" s="200"/>
      <c r="AK373" s="129"/>
    </row>
    <row r="374" spans="4:37" ht="15.75" hidden="1" customHeight="1">
      <c r="F374" s="11" t="str">
        <f>H432</f>
        <v>Option 1.6</v>
      </c>
      <c r="N374" s="40"/>
      <c r="O374" s="200"/>
      <c r="AK374" s="129"/>
    </row>
    <row r="375" spans="4:37" ht="15.75" hidden="1" customHeight="1">
      <c r="F375" s="11" t="str">
        <f>IFERROR(VLOOKUP($F$368,F371:F374,F370,FALSE),"No")</f>
        <v>No</v>
      </c>
      <c r="G375" s="11" t="str">
        <f>IFERROR(VLOOKUP($F$368,G371:G373,G370,FALSE),"No")</f>
        <v>No</v>
      </c>
      <c r="N375" s="40"/>
      <c r="O375" s="200"/>
      <c r="AK375" s="129"/>
    </row>
    <row r="376" spans="4:37" ht="15.75" hidden="1" customHeight="1">
      <c r="E376" s="601" t="s">
        <v>3150</v>
      </c>
      <c r="F376" s="975" t="str">
        <f>IF(Menu_UseOfCalculator=MenuItem_NonDwellingUnit,"No",IF(Menu_UseOfCalculator=MenuItem_TotalUA,"Yes", IF(AND(F375="No",Menu_CodeVersion=MenuItem_WSEC2018),"No",IF(AND(Menu_CodeVersion=K399,G375="No"),"No","Yes"))))</f>
        <v>Yes</v>
      </c>
      <c r="G376" s="972" t="s">
        <v>3171</v>
      </c>
      <c r="N376" s="40"/>
      <c r="O376" s="200"/>
      <c r="AK376" s="129"/>
    </row>
    <row r="377" spans="4:37" ht="15.75" hidden="1" customHeight="1">
      <c r="N377" s="40"/>
      <c r="O377" s="200"/>
      <c r="AK377" s="129"/>
    </row>
    <row r="378" spans="4:37" ht="15.75" hidden="1" customHeight="1">
      <c r="E378" s="12" t="s">
        <v>3151</v>
      </c>
      <c r="F378" s="11" t="str">
        <f>IF(Menu_CodeVersion=K399,G344,G345)</f>
        <v>Yes</v>
      </c>
      <c r="N378" s="40"/>
      <c r="O378" s="200"/>
      <c r="AK378" s="129"/>
    </row>
    <row r="379" spans="4:37" ht="15.75" hidden="1" customHeight="1">
      <c r="E379" s="12" t="s">
        <v>3152</v>
      </c>
      <c r="F379" s="11" t="str">
        <f>F376</f>
        <v>Yes</v>
      </c>
      <c r="N379" s="40"/>
      <c r="O379" s="200"/>
      <c r="AK379" s="129"/>
    </row>
    <row r="380" spans="4:37" ht="15.75" hidden="1" customHeight="1">
      <c r="E380" s="12"/>
      <c r="N380" s="40"/>
      <c r="O380" s="200"/>
      <c r="AK380" s="129"/>
    </row>
    <row r="381" spans="4:37" ht="15.75" hidden="1" customHeight="1">
      <c r="E381" s="601" t="s">
        <v>3153</v>
      </c>
      <c r="F381" s="975" t="str">
        <f>IF(AND(F378="Yes",F379="No"),"Yes","No")</f>
        <v>No</v>
      </c>
      <c r="N381" s="40"/>
      <c r="O381" s="200"/>
      <c r="AK381" s="129"/>
    </row>
    <row r="382" spans="4:37" ht="15.75" hidden="1" customHeight="1">
      <c r="N382" s="40"/>
      <c r="O382" s="200"/>
      <c r="AK382" s="129"/>
    </row>
    <row r="383" spans="4:37" ht="15.75" hidden="1" customHeight="1">
      <c r="N383" s="40"/>
      <c r="O383" s="200"/>
      <c r="AK383" s="129"/>
    </row>
    <row r="384" spans="4:37" ht="15.75" hidden="1" customHeight="1">
      <c r="D384" s="98"/>
      <c r="E384" s="421" t="s">
        <v>2236</v>
      </c>
      <c r="F384" s="98"/>
      <c r="G384" s="98"/>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row>
    <row r="385" spans="4:32" ht="15.75" hidden="1" customHeight="1">
      <c r="E385" s="96" t="s">
        <v>2222</v>
      </c>
    </row>
    <row r="386" spans="4:32" ht="15.75" hidden="1" customHeight="1">
      <c r="E386" s="179" t="s">
        <v>2219</v>
      </c>
      <c r="K386" s="973" t="s">
        <v>2851</v>
      </c>
      <c r="L386" s="400" t="s">
        <v>2851</v>
      </c>
      <c r="M386" s="400" t="s">
        <v>2233</v>
      </c>
      <c r="N386" s="400" t="s">
        <v>2233</v>
      </c>
      <c r="O386" s="40"/>
      <c r="P386" s="96"/>
    </row>
    <row r="387" spans="4:32" ht="15.75" hidden="1" customHeight="1">
      <c r="E387" s="767"/>
      <c r="F387" s="107" t="s">
        <v>2802</v>
      </c>
      <c r="J387" s="76"/>
      <c r="K387" s="115" t="str">
        <f>$N400</f>
        <v>R3 Single family dwellings and townhouses</v>
      </c>
      <c r="L387" s="96" t="str">
        <f>$N399</f>
        <v>R2 Multifamily</v>
      </c>
      <c r="M387" s="96" t="str">
        <f>$N400</f>
        <v>R3 Single family dwellings and townhouses</v>
      </c>
      <c r="N387" s="96" t="str">
        <f>$N399</f>
        <v>R2 Multifamily</v>
      </c>
      <c r="P387" s="40"/>
    </row>
    <row r="388" spans="4:32" ht="15.75" hidden="1" customHeight="1">
      <c r="E388" s="768" t="s">
        <v>2220</v>
      </c>
      <c r="F388" s="107" t="s">
        <v>1353</v>
      </c>
      <c r="G388" s="11" t="s">
        <v>1350</v>
      </c>
      <c r="J388" s="40" t="s">
        <v>2320</v>
      </c>
      <c r="K388" s="401" t="str">
        <f>CONCATENATE(K386,K387)</f>
        <v>WSEC 2021R3 Single family dwellings and townhouses</v>
      </c>
      <c r="L388" s="401" t="str">
        <f>CONCATENATE(L386,L387)</f>
        <v>WSEC 2021R2 Multifamily</v>
      </c>
      <c r="M388" s="401" t="str">
        <f>CONCATENATE(M386,M387)</f>
        <v>WSEC 2018R3 Single family dwellings and townhouses</v>
      </c>
      <c r="N388" s="401" t="str">
        <f>CONCATENATE(N386,N387)</f>
        <v>WSEC 2018R2 Multifamily</v>
      </c>
      <c r="P388" s="404">
        <v>1</v>
      </c>
    </row>
    <row r="389" spans="4:32" ht="15.75" hidden="1" customHeight="1">
      <c r="E389" s="768" t="s">
        <v>2221</v>
      </c>
      <c r="F389" s="107" t="s">
        <v>2803</v>
      </c>
      <c r="G389" s="11" t="s">
        <v>1350</v>
      </c>
      <c r="J389" s="196" t="s">
        <v>2223</v>
      </c>
      <c r="K389" s="985">
        <v>5</v>
      </c>
      <c r="L389" s="985">
        <v>6.5</v>
      </c>
      <c r="M389" s="402">
        <v>3</v>
      </c>
      <c r="N389" s="402">
        <v>4.5</v>
      </c>
      <c r="O389" s="119">
        <v>1</v>
      </c>
      <c r="P389" s="404">
        <f>P388+1</f>
        <v>2</v>
      </c>
      <c r="AF389" s="972"/>
    </row>
    <row r="390" spans="4:32" ht="15.75" hidden="1" customHeight="1">
      <c r="E390" s="768" t="s">
        <v>3145</v>
      </c>
      <c r="F390" s="107" t="s">
        <v>1353</v>
      </c>
      <c r="G390" s="11" t="s">
        <v>1350</v>
      </c>
      <c r="J390" s="196" t="s">
        <v>2224</v>
      </c>
      <c r="K390" s="985">
        <v>8</v>
      </c>
      <c r="L390" s="985">
        <v>6.5</v>
      </c>
      <c r="M390" s="402">
        <v>6</v>
      </c>
      <c r="N390" s="402">
        <v>4.5</v>
      </c>
      <c r="O390" s="119">
        <v>2</v>
      </c>
      <c r="P390" s="404">
        <f>P389+1</f>
        <v>3</v>
      </c>
      <c r="AF390" s="972"/>
    </row>
    <row r="391" spans="4:32" ht="15.75" hidden="1" customHeight="1">
      <c r="E391" s="189" t="s">
        <v>2258</v>
      </c>
      <c r="F391" s="189" t="str">
        <f>VLOOKUP(Menu_ProjectType,E388:F390,2,FALSE)</f>
        <v>Conditioned Floor Area</v>
      </c>
      <c r="G391" s="11" t="s">
        <v>1350</v>
      </c>
      <c r="J391" s="196" t="s">
        <v>2225</v>
      </c>
      <c r="K391" s="985">
        <v>9</v>
      </c>
      <c r="L391" s="985">
        <v>6.5</v>
      </c>
      <c r="M391" s="402">
        <v>7</v>
      </c>
      <c r="N391" s="402">
        <v>4.5</v>
      </c>
      <c r="O391" s="119">
        <v>3</v>
      </c>
      <c r="P391" s="404">
        <f>P390+1</f>
        <v>4</v>
      </c>
      <c r="Q391" s="96"/>
    </row>
    <row r="392" spans="4:32" ht="15.75" hidden="1" customHeight="1">
      <c r="J392" s="196" t="str">
        <f>IF(F400=K399,"Addition 150 sf to 500 sf","Addition of 500 sf or less")</f>
        <v>Addition 150 sf to 500 sf</v>
      </c>
      <c r="K392" s="985">
        <f>IF($H$65&lt;150,0,2)</f>
        <v>2</v>
      </c>
      <c r="L392" s="985">
        <v>6.5</v>
      </c>
      <c r="M392" s="402">
        <v>1.5</v>
      </c>
      <c r="N392" s="402">
        <v>4.5</v>
      </c>
      <c r="O392" s="119">
        <v>4</v>
      </c>
      <c r="P392" s="404">
        <f>P391+1</f>
        <v>5</v>
      </c>
      <c r="Q392" s="96"/>
    </row>
    <row r="393" spans="4:32" ht="15.75" hidden="1" customHeight="1">
      <c r="D393" s="12" t="s">
        <v>2809</v>
      </c>
      <c r="E393" s="76" t="s">
        <v>2801</v>
      </c>
      <c r="F393" s="107" t="s">
        <v>2803</v>
      </c>
      <c r="J393" s="37">
        <v>1</v>
      </c>
      <c r="K393" s="403">
        <f>J393+1</f>
        <v>2</v>
      </c>
      <c r="L393" s="403">
        <f>K393+1</f>
        <v>3</v>
      </c>
      <c r="M393" s="403">
        <f>L393+1</f>
        <v>4</v>
      </c>
      <c r="N393" s="403">
        <f>M393+1</f>
        <v>5</v>
      </c>
      <c r="P393" s="404">
        <f>P392+1</f>
        <v>6</v>
      </c>
    </row>
    <row r="394" spans="4:32" ht="15.75" hidden="1" customHeight="1">
      <c r="J394" s="37"/>
      <c r="K394" s="403"/>
      <c r="L394" s="403"/>
      <c r="M394" s="403"/>
      <c r="N394" s="403"/>
      <c r="P394" s="404"/>
    </row>
    <row r="395" spans="4:32" ht="15.75" hidden="1" customHeight="1">
      <c r="E395" s="107" t="s">
        <v>2228</v>
      </c>
      <c r="F395" s="198" t="str">
        <f>F19</f>
        <v>R2 Multifamily</v>
      </c>
      <c r="O395" s="40"/>
      <c r="P395" s="40"/>
    </row>
    <row r="396" spans="4:32" ht="15.75" hidden="1" customHeight="1">
      <c r="E396" s="107" t="s">
        <v>2214</v>
      </c>
      <c r="F396" s="198" t="str">
        <f>F18</f>
        <v>New Construction</v>
      </c>
      <c r="O396" s="40"/>
      <c r="P396" s="40"/>
    </row>
    <row r="397" spans="4:32" ht="15.75" hidden="1" customHeight="1">
      <c r="E397" s="107" t="s">
        <v>2226</v>
      </c>
      <c r="F397" s="199">
        <f>H65</f>
        <v>2100</v>
      </c>
      <c r="G397" s="11" t="str">
        <f>IF(OR(F396=Item_ProjectType_Addition,F396=Item_ProjectType_RemodelAlteration),IF(AND(F400=K399,F397&lt;150),"Exempt Addition","--"),"--")</f>
        <v>--</v>
      </c>
      <c r="K397" s="96" t="s">
        <v>2234</v>
      </c>
      <c r="N397" s="96" t="s">
        <v>2229</v>
      </c>
      <c r="O397" s="40"/>
      <c r="P397" s="96"/>
    </row>
    <row r="398" spans="4:32" ht="15.75" hidden="1" customHeight="1">
      <c r="E398" s="107" t="s">
        <v>2227</v>
      </c>
      <c r="F398" s="199">
        <f>M164</f>
        <v>132.25</v>
      </c>
      <c r="K398" s="110"/>
      <c r="N398" s="110"/>
      <c r="O398" s="40"/>
      <c r="P398" s="200"/>
    </row>
    <row r="399" spans="4:32" ht="15.75" hidden="1" customHeight="1">
      <c r="E399" s="107" t="s">
        <v>2237</v>
      </c>
      <c r="F399" s="201" t="str">
        <f>IF(Menu_UseOfCalculator=MenuItem_NonDwellingUnit,"Non-Dwelling Unit",IF(AND(F397&lt;=500,OR(F396=Item_ProjectType_Addition,F396=Item_ProjectType_RemodelAlteration)),J392,IF(OR(AND(F397&lt;1500,F398&lt;300),AND(F396=Item_ProjectType_Addition,F397&gt;500,F397&lt;1500,F398&lt;300)),J389,IF(F397&gt;5000,J391,J390))))</f>
        <v>Medium Dwelling Unit</v>
      </c>
      <c r="K399" s="986" t="s">
        <v>2851</v>
      </c>
      <c r="N399" s="986" t="s">
        <v>2230</v>
      </c>
      <c r="O399" s="40"/>
      <c r="P399" s="200"/>
    </row>
    <row r="400" spans="4:32" ht="15.75" hidden="1" customHeight="1">
      <c r="E400" s="107" t="s">
        <v>2232</v>
      </c>
      <c r="F400" s="76" t="str">
        <f>F20</f>
        <v>WSEC 2021</v>
      </c>
      <c r="K400" s="987" t="s">
        <v>2233</v>
      </c>
      <c r="N400" s="987" t="s">
        <v>3170</v>
      </c>
      <c r="O400" s="40"/>
      <c r="P400" s="171"/>
    </row>
    <row r="401" spans="4:25" ht="15.75" hidden="1" customHeight="1">
      <c r="E401" s="107" t="s">
        <v>2235</v>
      </c>
      <c r="F401" s="197">
        <f>HLOOKUP(CONCATENATE(F400,F395),Table_ColumnEnergyCredits,$P$393,FALSE)</f>
        <v>3</v>
      </c>
      <c r="O401" s="40"/>
      <c r="P401" s="171"/>
    </row>
    <row r="402" spans="4:25" ht="15.75" hidden="1" customHeight="1">
      <c r="E402" s="107" t="s">
        <v>2231</v>
      </c>
      <c r="F402" s="399">
        <f>IF(Menu_UseOfCalculator=MenuItem_NonDwellingUnit,0,VLOOKUP(F399,Table_EnergyCredits,F401,FALSE))</f>
        <v>6.5</v>
      </c>
      <c r="O402" s="40"/>
      <c r="P402" s="171"/>
    </row>
    <row r="403" spans="4:25" ht="15.75" hidden="1" customHeight="1">
      <c r="E403" s="96" t="s">
        <v>3192</v>
      </c>
      <c r="F403" s="1043" t="str">
        <f>IF(AND(F397&lt;1500,F398&gt;300,F399&lt;&gt;J392),"Classified as medium dwelling unit (not small dwelling unit) because fenestration area is 300 sf or greater.","-")</f>
        <v>-</v>
      </c>
      <c r="O403" s="40"/>
      <c r="P403" s="171"/>
    </row>
    <row r="404" spans="4:25" ht="15.75" hidden="1" customHeight="1">
      <c r="E404" s="125"/>
      <c r="F404" s="125" t="s">
        <v>2104</v>
      </c>
      <c r="G404" s="125"/>
      <c r="H404" s="125"/>
      <c r="I404" s="125"/>
      <c r="J404" s="125"/>
      <c r="K404" s="125"/>
      <c r="L404" s="125"/>
      <c r="M404" s="125"/>
      <c r="N404" s="125"/>
      <c r="O404" s="125"/>
      <c r="P404" s="125"/>
      <c r="Q404" s="125"/>
      <c r="R404" s="125"/>
      <c r="S404" s="125"/>
      <c r="T404" s="125"/>
      <c r="U404" s="125"/>
      <c r="V404" s="125"/>
      <c r="W404" s="125"/>
      <c r="X404" s="125"/>
      <c r="Y404" s="125"/>
    </row>
    <row r="405" spans="4:25" ht="15.75" hidden="1" customHeight="1"/>
    <row r="406" spans="4:25" ht="15.75" hidden="1" customHeight="1">
      <c r="H406" s="108" t="s">
        <v>2252</v>
      </c>
      <c r="I406" s="109">
        <f>IFERROR(VLOOKUP(H406,Table_Option_1_Selected,2,TRUE),0)</f>
        <v>0.5</v>
      </c>
    </row>
    <row r="407" spans="4:25" ht="15.75" hidden="1" customHeight="1">
      <c r="D407" s="107" t="s">
        <v>2258</v>
      </c>
      <c r="E407" s="76" t="str">
        <f>F20</f>
        <v>WSEC 2021</v>
      </c>
      <c r="H407" s="96" t="s">
        <v>2069</v>
      </c>
      <c r="I407" s="96" t="s">
        <v>2087</v>
      </c>
      <c r="J407" s="96" t="s">
        <v>2088</v>
      </c>
    </row>
    <row r="408" spans="4:25" ht="15.75" hidden="1" customHeight="1">
      <c r="D408" s="107" t="s">
        <v>2258</v>
      </c>
      <c r="E408" s="76" t="str">
        <f>F19</f>
        <v>R2 Multifamily</v>
      </c>
      <c r="H408" s="107"/>
      <c r="I408" s="107"/>
      <c r="J408" s="114" t="s">
        <v>2077</v>
      </c>
    </row>
    <row r="409" spans="4:25" ht="15.75" hidden="1" customHeight="1">
      <c r="D409" s="107" t="s">
        <v>2262</v>
      </c>
      <c r="E409" s="199">
        <f>IF(E408=N399,3,2)</f>
        <v>3</v>
      </c>
      <c r="G409" s="96" t="s">
        <v>2865</v>
      </c>
      <c r="H409" s="107" t="s">
        <v>2078</v>
      </c>
      <c r="I409" s="107"/>
      <c r="J409" s="114" t="s">
        <v>2077</v>
      </c>
    </row>
    <row r="410" spans="4:25" ht="15.75" hidden="1" customHeight="1">
      <c r="G410" s="40" t="str">
        <f t="shared" ref="G410:G417" si="77">CONCATENATE($E$407," ",H410)</f>
        <v>WSEC 2021 Option 1.1</v>
      </c>
      <c r="H410" s="374" t="str">
        <f t="shared" ref="H410:H416" si="78">IF(E$407=K$399,H420,H427)</f>
        <v>Option 1.1</v>
      </c>
      <c r="I410" s="107">
        <f t="shared" ref="I410:I417" si="79">IFERROR(VLOOKUP($G410,Table_Option1,$E$409,FALSE),"")</f>
        <v>0.5</v>
      </c>
      <c r="J410" s="107" t="str">
        <f t="shared" ref="J410:J417" si="80">IFERROR(VLOOKUP($G410,Table_Option1,$L$435,FALSE),"")</f>
        <v xml:space="preserve">Prescriptive compliance based on Table R402.1.3 Vertical Fenestration = U 0.22 </v>
      </c>
    </row>
    <row r="411" spans="4:25" ht="15.75" hidden="1" customHeight="1">
      <c r="G411" s="40" t="str">
        <f t="shared" si="77"/>
        <v>WSEC 2021 Option 1.2</v>
      </c>
      <c r="H411" s="374" t="str">
        <f t="shared" si="78"/>
        <v>Option 1.2</v>
      </c>
      <c r="I411" s="107">
        <f t="shared" si="79"/>
        <v>1</v>
      </c>
      <c r="J411" s="107" t="str">
        <f t="shared" si="80"/>
        <v>Perscriptive compliance per Table 402.1.3 / U-0.25 vertical fenestration / R-38 floors or R-10 perimeter &amp; fully insulated slab. Or 15% reduction in UA per section R402.1.5</v>
      </c>
    </row>
    <row r="412" spans="4:25" ht="15.75" hidden="1" customHeight="1">
      <c r="G412" s="40" t="str">
        <f t="shared" si="77"/>
        <v>WSEC 2021 Option 1.3</v>
      </c>
      <c r="H412" s="374" t="str">
        <f t="shared" si="78"/>
        <v>Option 1.3</v>
      </c>
      <c r="I412" s="107">
        <f t="shared" si="79"/>
        <v>1.5</v>
      </c>
      <c r="J412" s="107" t="str">
        <f t="shared" si="80"/>
        <v>Perscriptive compliance based on Table 402.1.3 / U-0.18 vertical fenestration / R-21+12ci walls / R-60 adv ceiling / R-38 floors or R-10 perimeter &amp; fully insulated slab. Or 22.5% reduction in UA per section R402.1.5</v>
      </c>
    </row>
    <row r="413" spans="4:25" ht="15.75" hidden="1" customHeight="1">
      <c r="G413" s="40" t="str">
        <f t="shared" si="77"/>
        <v>WSEC 2021 Option 1.4</v>
      </c>
      <c r="H413" s="374" t="str">
        <f t="shared" si="78"/>
        <v>Option 1.4</v>
      </c>
      <c r="I413" s="107">
        <f t="shared" si="79"/>
        <v>2</v>
      </c>
      <c r="J413" s="107" t="str">
        <f t="shared" si="80"/>
        <v>Prescriptive compliance based on Table R402.1.3 / U-0.18 vertical fenestration / R-21+R16ci walls / R-60 adv ceiling / R-48 floors / R-20 perimeter &amp; fully insulated above &amp; below-grade slabs / R-21+R-16ci basement walls  Or 30% reduction in UA</v>
      </c>
    </row>
    <row r="414" spans="4:25" ht="15.75" hidden="1" customHeight="1">
      <c r="G414" s="40" t="str">
        <f t="shared" si="77"/>
        <v>WSEC 2021 0</v>
      </c>
      <c r="H414" s="374">
        <f t="shared" si="78"/>
        <v>0</v>
      </c>
      <c r="I414" s="107" t="str">
        <f t="shared" si="79"/>
        <v/>
      </c>
      <c r="J414" s="107" t="str">
        <f t="shared" si="80"/>
        <v/>
      </c>
    </row>
    <row r="415" spans="4:25" ht="15.75" hidden="1" customHeight="1">
      <c r="G415" s="40" t="str">
        <f t="shared" si="77"/>
        <v>WSEC 2021 0</v>
      </c>
      <c r="H415" s="374">
        <f t="shared" si="78"/>
        <v>0</v>
      </c>
      <c r="I415" s="107" t="str">
        <f t="shared" si="79"/>
        <v/>
      </c>
      <c r="J415" s="107" t="str">
        <f t="shared" si="80"/>
        <v/>
      </c>
    </row>
    <row r="416" spans="4:25" ht="15.75" hidden="1" customHeight="1">
      <c r="G416" s="40" t="str">
        <f t="shared" si="77"/>
        <v>WSEC 2021 0</v>
      </c>
      <c r="H416" s="374">
        <f t="shared" si="78"/>
        <v>0</v>
      </c>
      <c r="I416" s="107" t="str">
        <f t="shared" si="79"/>
        <v/>
      </c>
      <c r="J416" s="107" t="str">
        <f t="shared" si="80"/>
        <v/>
      </c>
    </row>
    <row r="417" spans="5:14" ht="15.75" hidden="1" customHeight="1">
      <c r="G417" s="40" t="str">
        <f t="shared" si="77"/>
        <v>WSEC 2021 0</v>
      </c>
      <c r="H417" s="374">
        <f>IF(E$407=K$399,H426,H434)</f>
        <v>0</v>
      </c>
      <c r="I417" s="107" t="str">
        <f t="shared" si="79"/>
        <v/>
      </c>
      <c r="J417" s="107" t="str">
        <f t="shared" si="80"/>
        <v/>
      </c>
    </row>
    <row r="418" spans="5:14" ht="15.75" hidden="1" customHeight="1">
      <c r="J418" s="13"/>
    </row>
    <row r="419" spans="5:14" ht="23.25" hidden="1" customHeight="1">
      <c r="G419" s="190" t="s">
        <v>2284</v>
      </c>
      <c r="I419" s="96" t="s">
        <v>2865</v>
      </c>
      <c r="J419" s="96" t="s">
        <v>3207</v>
      </c>
      <c r="K419" s="96" t="s">
        <v>2230</v>
      </c>
      <c r="L419" s="999" t="s">
        <v>3044</v>
      </c>
      <c r="M419" s="11" t="s">
        <v>3043</v>
      </c>
      <c r="N419" s="11" t="s">
        <v>3042</v>
      </c>
    </row>
    <row r="420" spans="5:14" ht="15.75" hidden="1" customHeight="1">
      <c r="E420" s="190" t="s">
        <v>2882</v>
      </c>
      <c r="F420" s="37">
        <v>1</v>
      </c>
      <c r="G420" s="848" t="str">
        <f>$K$399</f>
        <v>WSEC 2021</v>
      </c>
      <c r="H420" s="371" t="s">
        <v>2252</v>
      </c>
      <c r="I420" s="175" t="str">
        <f>CONCATENATE($G$420," ",H420)</f>
        <v>WSEC 2021 Option 1.1</v>
      </c>
      <c r="J420" s="376">
        <v>0.5</v>
      </c>
      <c r="K420" s="377">
        <v>0.5</v>
      </c>
      <c r="L420" s="1000" t="str">
        <f>IF($F$19=$N$400,M420,N420)</f>
        <v xml:space="preserve">Prescriptive compliance based on Table R402.1.3 Vertical Fenestration = U 0.22 </v>
      </c>
      <c r="M420" s="988" t="s">
        <v>3019</v>
      </c>
      <c r="N420" s="988" t="s">
        <v>3019</v>
      </c>
    </row>
    <row r="421" spans="5:14" ht="15.75" hidden="1" customHeight="1">
      <c r="F421" s="37">
        <f>F420+1</f>
        <v>2</v>
      </c>
      <c r="G421" s="847"/>
      <c r="H421" s="371" t="s">
        <v>2253</v>
      </c>
      <c r="I421" s="175" t="str">
        <f>CONCATENATE($G$420," ",H421)</f>
        <v>WSEC 2021 Option 1.2</v>
      </c>
      <c r="J421" s="376">
        <v>1</v>
      </c>
      <c r="K421" s="377">
        <v>1</v>
      </c>
      <c r="L421" s="1000" t="str">
        <f>IF($F$19=$N$400,M421,N421)</f>
        <v>Perscriptive compliance per Table 402.1.3 / U-0.25 vertical fenestration / R-38 floors or R-10 perimeter &amp; fully insulated slab. Or 15% reduction in UA per section R402.1.5</v>
      </c>
      <c r="M421" s="375" t="s">
        <v>3020</v>
      </c>
      <c r="N421" s="375" t="s">
        <v>3020</v>
      </c>
    </row>
    <row r="422" spans="5:14" ht="15.75" hidden="1" customHeight="1">
      <c r="F422" s="37">
        <f t="shared" ref="F422:F434" si="81">F421+1</f>
        <v>3</v>
      </c>
      <c r="G422" s="847"/>
      <c r="H422" s="371" t="s">
        <v>2254</v>
      </c>
      <c r="I422" s="175" t="str">
        <f>CONCATENATE($G$420," ",H422)</f>
        <v>WSEC 2021 Option 1.3</v>
      </c>
      <c r="J422" s="376">
        <v>1.5</v>
      </c>
      <c r="K422" s="377">
        <v>1.5</v>
      </c>
      <c r="L422" s="1000" t="str">
        <f>IF($F$19=$N$400,M422,N422)</f>
        <v>Perscriptive compliance based on Table 402.1.3 / U-0.18 vertical fenestration / R-21+12ci walls / R-60 adv ceiling / R-38 floors or R-10 perimeter &amp; fully insulated slab. Or 22.5% reduction in UA per section R402.1.5</v>
      </c>
      <c r="M422" s="375" t="s">
        <v>3021</v>
      </c>
      <c r="N422" s="375" t="s">
        <v>3021</v>
      </c>
    </row>
    <row r="423" spans="5:14" ht="15.75" hidden="1" customHeight="1">
      <c r="F423" s="37">
        <f t="shared" si="81"/>
        <v>4</v>
      </c>
      <c r="G423" s="847"/>
      <c r="H423" s="371" t="s">
        <v>2255</v>
      </c>
      <c r="I423" s="175" t="str">
        <f>CONCATENATE($G$420," ",H423)</f>
        <v>WSEC 2021 Option 1.4</v>
      </c>
      <c r="J423" s="376">
        <v>2.5</v>
      </c>
      <c r="K423" s="377">
        <v>2</v>
      </c>
      <c r="L423" s="1000" t="str">
        <f>IF($F$19=$N$400,M423,N423)</f>
        <v>Prescriptive compliance based on Table R402.1.3 / U-0.18 vertical fenestration / R-21+R16ci walls / R-60 adv ceiling / R-48 floors / R-20 perimeter &amp; fully insulated above &amp; below-grade slabs / R-21+R-16ci basement walls  Or 30% reduction in UA</v>
      </c>
      <c r="M423" s="375" t="s">
        <v>3022</v>
      </c>
      <c r="N423" s="375" t="s">
        <v>3022</v>
      </c>
    </row>
    <row r="424" spans="5:14" ht="15.75" hidden="1" customHeight="1">
      <c r="F424" s="37">
        <f t="shared" si="81"/>
        <v>5</v>
      </c>
      <c r="G424" s="379" t="s">
        <v>2263</v>
      </c>
      <c r="H424" s="380">
        <v>0</v>
      </c>
      <c r="I424" s="175"/>
      <c r="J424" s="381"/>
      <c r="K424" s="381"/>
      <c r="L424" s="382"/>
      <c r="M424" s="382"/>
      <c r="N424" s="382"/>
    </row>
    <row r="425" spans="5:14" ht="15.75" hidden="1" customHeight="1">
      <c r="F425" s="37">
        <f t="shared" si="81"/>
        <v>6</v>
      </c>
      <c r="G425" s="379" t="s">
        <v>2263</v>
      </c>
      <c r="H425" s="380">
        <v>0</v>
      </c>
      <c r="I425" s="175"/>
      <c r="J425" s="381"/>
      <c r="K425" s="381"/>
      <c r="L425" s="382"/>
      <c r="M425" s="382"/>
      <c r="N425" s="382"/>
    </row>
    <row r="426" spans="5:14" ht="15.75" hidden="1" customHeight="1">
      <c r="F426" s="37">
        <f t="shared" si="81"/>
        <v>7</v>
      </c>
      <c r="G426" s="379" t="s">
        <v>2263</v>
      </c>
      <c r="H426" s="380">
        <v>0</v>
      </c>
      <c r="I426" s="175"/>
      <c r="J426" s="381"/>
      <c r="K426" s="381"/>
      <c r="L426" s="382"/>
      <c r="M426" s="382"/>
      <c r="N426" s="382"/>
    </row>
    <row r="427" spans="5:14" ht="15.75" hidden="1" customHeight="1">
      <c r="F427" s="37">
        <f t="shared" si="81"/>
        <v>8</v>
      </c>
      <c r="G427" s="848" t="str">
        <f>$K$400</f>
        <v>WSEC 2018</v>
      </c>
      <c r="H427" s="372" t="s">
        <v>2252</v>
      </c>
      <c r="I427" s="175" t="str">
        <f t="shared" ref="I427:I433" si="82">CONCATENATE($G$427," ",H427)</f>
        <v>WSEC 2018 Option 1.1</v>
      </c>
      <c r="J427" s="376">
        <v>0.5</v>
      </c>
      <c r="K427" s="377">
        <v>0.5</v>
      </c>
      <c r="L427" s="1000" t="str">
        <f t="shared" ref="L427:L433" si="83">IF($F$19=$N$400,M427,N427)</f>
        <v>U 0.24 Windows</v>
      </c>
      <c r="M427" s="375" t="s">
        <v>2090</v>
      </c>
      <c r="N427" s="375" t="s">
        <v>2090</v>
      </c>
    </row>
    <row r="428" spans="5:14" ht="15.75" hidden="1" customHeight="1">
      <c r="F428" s="37">
        <f t="shared" si="81"/>
        <v>9</v>
      </c>
      <c r="G428" s="847"/>
      <c r="H428" s="372" t="s">
        <v>2253</v>
      </c>
      <c r="I428" s="175" t="str">
        <f t="shared" si="82"/>
        <v>WSEC 2018 Option 1.2</v>
      </c>
      <c r="J428" s="376">
        <v>1</v>
      </c>
      <c r="K428" s="377">
        <v>1</v>
      </c>
      <c r="L428" s="1000" t="str">
        <f t="shared" si="83"/>
        <v>U 0.20 Windows</v>
      </c>
      <c r="M428" s="375" t="s">
        <v>2257</v>
      </c>
      <c r="N428" s="375" t="s">
        <v>2257</v>
      </c>
    </row>
    <row r="429" spans="5:14" ht="15.75" hidden="1" customHeight="1">
      <c r="F429" s="37">
        <f t="shared" si="81"/>
        <v>10</v>
      </c>
      <c r="G429" s="847"/>
      <c r="H429" s="372" t="s">
        <v>2254</v>
      </c>
      <c r="I429" s="175" t="str">
        <f t="shared" si="82"/>
        <v>WSEC 2018 Option 1.3</v>
      </c>
      <c r="J429" s="376">
        <v>0.5</v>
      </c>
      <c r="K429" s="378" t="s">
        <v>2261</v>
      </c>
      <c r="L429" s="1000" t="str">
        <f t="shared" si="83"/>
        <v>U 0.28 Windows / R-38 floors or R-10 Fully insulated slab. Or 5% reduction in UA</v>
      </c>
      <c r="M429" s="375" t="s">
        <v>2558</v>
      </c>
      <c r="N429" s="375" t="s">
        <v>2558</v>
      </c>
    </row>
    <row r="430" spans="5:14" ht="15.75" hidden="1" customHeight="1">
      <c r="F430" s="37">
        <f t="shared" si="81"/>
        <v>11</v>
      </c>
      <c r="G430" s="847"/>
      <c r="H430" s="372" t="s">
        <v>2255</v>
      </c>
      <c r="I430" s="175" t="str">
        <f t="shared" si="82"/>
        <v>WSEC 2018 Option 1.4</v>
      </c>
      <c r="J430" s="376">
        <v>1</v>
      </c>
      <c r="K430" s="376">
        <v>1</v>
      </c>
      <c r="L430" s="1000" t="str">
        <f t="shared" si="83"/>
        <v>U-0.25 Windows / R-21+R4ci walls / R-21+R5ci below-grade walls / R-38 floors or R-10 Fully insulated slab.  Or 15% reduction in UA</v>
      </c>
      <c r="M430" s="375" t="s">
        <v>2661</v>
      </c>
      <c r="N430" s="375" t="s">
        <v>2661</v>
      </c>
    </row>
    <row r="431" spans="5:14" ht="15.75" hidden="1" customHeight="1">
      <c r="F431" s="37">
        <f t="shared" si="81"/>
        <v>12</v>
      </c>
      <c r="G431" s="847"/>
      <c r="H431" s="372" t="s">
        <v>2256</v>
      </c>
      <c r="I431" s="175" t="str">
        <f t="shared" si="82"/>
        <v>WSEC 2018 Option 1.5</v>
      </c>
      <c r="J431" s="376">
        <v>2</v>
      </c>
      <c r="K431" s="376">
        <v>1.5</v>
      </c>
      <c r="L431" s="1000" t="str">
        <f t="shared" si="83"/>
        <v>U-0.22 Windows / R-21+R12ci walls / R-49 adv ceiling / R-38 floors / R-10 Fully insulated above-grade and below-grade slabs / R-21+R-12 ci basement walls  Or 30% reduction in UA</v>
      </c>
      <c r="M431" s="375" t="s">
        <v>2660</v>
      </c>
      <c r="N431" s="375" t="s">
        <v>2660</v>
      </c>
    </row>
    <row r="432" spans="5:14" ht="15.75" hidden="1" customHeight="1">
      <c r="F432" s="37">
        <f t="shared" si="81"/>
        <v>13</v>
      </c>
      <c r="G432" s="847"/>
      <c r="H432" s="373" t="s">
        <v>2094</v>
      </c>
      <c r="I432" s="175" t="str">
        <f t="shared" si="82"/>
        <v>WSEC 2018 Option 1.6</v>
      </c>
      <c r="J432" s="377">
        <v>3</v>
      </c>
      <c r="K432" s="376">
        <v>2</v>
      </c>
      <c r="L432" s="1000" t="str">
        <f t="shared" si="83"/>
        <v>U-0.18 Windows / R-21+R16ci walls / R-60 adv ceiling &amp; single rafter or joist vaulted  / R-48 floors / R-20 Fully insulated above-grade and below-grade slabs.  Or 40% reduction in UA</v>
      </c>
      <c r="M432" s="375" t="s">
        <v>2659</v>
      </c>
      <c r="N432" s="375" t="s">
        <v>2659</v>
      </c>
    </row>
    <row r="433" spans="5:14" ht="15.75" hidden="1" customHeight="1">
      <c r="F433" s="37">
        <f t="shared" si="81"/>
        <v>14</v>
      </c>
      <c r="G433" s="847"/>
      <c r="H433" s="373" t="s">
        <v>2135</v>
      </c>
      <c r="I433" s="175" t="str">
        <f t="shared" si="82"/>
        <v>WSEC 2018 Option 1.7</v>
      </c>
      <c r="J433" s="377">
        <v>0.5</v>
      </c>
      <c r="K433" s="376">
        <v>0.5</v>
      </c>
      <c r="L433" s="1000" t="str">
        <f t="shared" si="83"/>
        <v>U 0.28 Windows / R-49 advanced ceiling below vented attic / R-49 advanced vaulted ceiling</v>
      </c>
      <c r="M433" s="375" t="s">
        <v>2559</v>
      </c>
      <c r="N433" s="375" t="s">
        <v>2559</v>
      </c>
    </row>
    <row r="434" spans="5:14" ht="15.75" hidden="1" customHeight="1">
      <c r="F434" s="37">
        <f t="shared" si="81"/>
        <v>15</v>
      </c>
      <c r="G434" s="379" t="s">
        <v>2263</v>
      </c>
      <c r="H434" s="373"/>
      <c r="I434" s="175"/>
      <c r="J434" s="377"/>
      <c r="K434" s="376"/>
      <c r="L434" s="375"/>
      <c r="M434" s="375"/>
      <c r="N434" s="375"/>
    </row>
    <row r="435" spans="5:14" ht="15.75" hidden="1" customHeight="1">
      <c r="H435" s="370">
        <v>1</v>
      </c>
      <c r="J435" s="370">
        <v>2</v>
      </c>
      <c r="K435" s="370">
        <v>3</v>
      </c>
      <c r="L435" s="370">
        <v>4</v>
      </c>
    </row>
    <row r="436" spans="5:14" ht="15.75" hidden="1" customHeight="1">
      <c r="J436" s="13"/>
    </row>
    <row r="437" spans="5:14" ht="15.75" hidden="1" customHeight="1">
      <c r="J437" s="13"/>
    </row>
    <row r="438" spans="5:14" ht="15.75" hidden="1" customHeight="1">
      <c r="J438" s="13"/>
    </row>
    <row r="439" spans="5:14" ht="15.75" hidden="1" customHeight="1">
      <c r="E439" s="190" t="s">
        <v>2883</v>
      </c>
      <c r="H439" s="388" t="s">
        <v>2264</v>
      </c>
      <c r="J439" s="13"/>
    </row>
    <row r="440" spans="5:14" ht="15.75" hidden="1" customHeight="1">
      <c r="H440" s="96" t="s">
        <v>2070</v>
      </c>
      <c r="I440" s="96" t="s">
        <v>2087</v>
      </c>
      <c r="J440" s="115" t="s">
        <v>2088</v>
      </c>
    </row>
    <row r="441" spans="5:14" ht="15.75" hidden="1" customHeight="1">
      <c r="G441" s="40" t="s">
        <v>2283</v>
      </c>
      <c r="H441" s="76"/>
      <c r="I441" s="76"/>
      <c r="J441" s="114" t="s">
        <v>2077</v>
      </c>
    </row>
    <row r="442" spans="5:14" ht="15.75" hidden="1" customHeight="1">
      <c r="G442" s="96" t="s">
        <v>2865</v>
      </c>
      <c r="H442" s="107" t="s">
        <v>2078</v>
      </c>
      <c r="I442" s="76">
        <v>0</v>
      </c>
      <c r="J442" s="114"/>
    </row>
    <row r="443" spans="5:14" ht="15.75" hidden="1" customHeight="1">
      <c r="G443" s="40" t="str">
        <f>CONCATENATE($E$407," ",H443)</f>
        <v>WSEC 2021 Option 2.1</v>
      </c>
      <c r="H443" s="112" t="str">
        <f>IF($E$407=$K$399,H449,H453)</f>
        <v>Option 2.1</v>
      </c>
      <c r="I443" s="386">
        <f>IFERROR(VLOOKUP($G443,Table_Option2,$E$409,FALSE),"")</f>
        <v>1</v>
      </c>
      <c r="J443" s="113" t="str">
        <f>IFERROR(VLOOKUP($G443,Table_Option2,$L$435,FALSE),"")</f>
        <v>Compliance based on Section R402.4.1.2: Reduce the tested air leakage to 2.0 ACH max at 50 Pa, or for R-2, optional compliance based on Section R402.4.1.2: Reduce the tested air leakage to 0.25 cfm/ft2 max at 50 Pa and All whole house ventilation requirements per IRC M1505.3 or IMC 403.8.</v>
      </c>
    </row>
    <row r="444" spans="5:14" ht="15.75" hidden="1" customHeight="1">
      <c r="G444" s="40" t="str">
        <f t="shared" ref="G444:G446" si="84">CONCATENATE($E$407," ",H444)</f>
        <v>WSEC 2021 Option 2.2</v>
      </c>
      <c r="H444" s="112" t="str">
        <f>IF($E$407=$K$399,H450,H454)</f>
        <v>Option 2.2</v>
      </c>
      <c r="I444" s="386">
        <f>IFERROR(VLOOKUP($G444,Table_Option2,$E$409,FALSE),"")</f>
        <v>1.5</v>
      </c>
      <c r="J444" s="113" t="str">
        <f>IFERROR(VLOOKUP($G444,Table_Option2,$L$435,FALSE),"")</f>
        <v>Per Section R402.4.1.2 /1.5 ACH50 / For R-2, 0.20 cfm per ft2 at 50 Pa. /  HRV with min SHR eff of 0.75 per IRC Section M1505.3 or IMC Section 403.8</v>
      </c>
    </row>
    <row r="445" spans="5:14" ht="15.75" hidden="1" customHeight="1">
      <c r="G445" s="40" t="str">
        <f t="shared" si="84"/>
        <v>WSEC 2021 Option 2.3</v>
      </c>
      <c r="H445" s="112" t="str">
        <f>IF($E$407=$K$399,H451,H455)</f>
        <v>Option 2.3</v>
      </c>
      <c r="I445" s="386">
        <f>IFERROR(VLOOKUP($G445,Table_Option2,$E$409,FALSE),"")</f>
        <v>2</v>
      </c>
      <c r="J445" s="113" t="str">
        <f>IFERROR(VLOOKUP($G445,Table_Option2,$L$435,FALSE),"")</f>
        <v>Per Section R402.4.1.2 0.6ACH50 / For R-2, 0.15 cfm per ft2 at 50 Pa. /  HRV with min SHR eff of 0.80 per IRC Section M1505.3 or IMC Section 403.8</v>
      </c>
    </row>
    <row r="446" spans="5:14" ht="15.75" hidden="1" customHeight="1">
      <c r="G446" s="40" t="str">
        <f t="shared" si="84"/>
        <v>WSEC 2021 0</v>
      </c>
      <c r="H446" s="387">
        <f>IF($E$407=$K$399,H452,H456)</f>
        <v>0</v>
      </c>
      <c r="I446" s="386" t="str">
        <f>IFERROR(VLOOKUP($G446,Table_Option2,$E$409,FALSE),"")</f>
        <v/>
      </c>
      <c r="J446" s="113" t="str">
        <f>IFERROR(VLOOKUP($G446,Table_Option2,$L$435,FALSE),"")</f>
        <v/>
      </c>
    </row>
    <row r="447" spans="5:14" ht="15.75" hidden="1" customHeight="1">
      <c r="J447" s="13"/>
    </row>
    <row r="448" spans="5:14" ht="27.75" hidden="1" customHeight="1">
      <c r="G448" s="96" t="s">
        <v>2284</v>
      </c>
      <c r="J448" s="96" t="s">
        <v>2260</v>
      </c>
      <c r="K448" s="96" t="s">
        <v>2259</v>
      </c>
      <c r="L448" s="999" t="s">
        <v>3044</v>
      </c>
      <c r="M448" s="11" t="s">
        <v>3043</v>
      </c>
      <c r="N448" s="11" t="s">
        <v>3042</v>
      </c>
    </row>
    <row r="449" spans="5:14" ht="15.75" hidden="1" customHeight="1">
      <c r="F449" s="37">
        <v>1</v>
      </c>
      <c r="G449" s="848" t="str">
        <f>$K$399</f>
        <v>WSEC 2021</v>
      </c>
      <c r="H449" s="371" t="s">
        <v>2264</v>
      </c>
      <c r="I449" s="175" t="str">
        <f>CONCATENATE($G$449," ",H449)</f>
        <v>WSEC 2021 Option 2.1</v>
      </c>
      <c r="J449" s="377">
        <v>1</v>
      </c>
      <c r="K449" s="376">
        <v>1</v>
      </c>
      <c r="L449" s="1000" t="str">
        <f>IF($F$19=$N$400,M449,N449)</f>
        <v>Compliance based on Section R402.4.1.2: Reduce the tested air leakage to 2.0 ACH max at 50 Pa, or for R-2, optional compliance based on Section R402.4.1.2: Reduce the tested air leakage to 0.25 cfm/ft2 max at 50 Pa and All whole house ventilation requirements per IRC M1505.3 or IMC 403.8.</v>
      </c>
      <c r="M449" s="375" t="s">
        <v>3023</v>
      </c>
      <c r="N449" s="988" t="s">
        <v>3049</v>
      </c>
    </row>
    <row r="450" spans="5:14" ht="15.75" hidden="1" customHeight="1">
      <c r="F450" s="37">
        <f>F449+1</f>
        <v>2</v>
      </c>
      <c r="G450" s="191"/>
      <c r="H450" s="371" t="s">
        <v>2265</v>
      </c>
      <c r="I450" s="175" t="str">
        <f>CONCATENATE($G$449," ",H450)</f>
        <v>WSEC 2021 Option 2.2</v>
      </c>
      <c r="J450" s="377">
        <v>1.5</v>
      </c>
      <c r="K450" s="376">
        <v>1.5</v>
      </c>
      <c r="L450" s="1000" t="str">
        <f>IF($F$19=$N$400,M450,N450)</f>
        <v>Per Section R402.4.1.2 /1.5 ACH50 / For R-2, 0.20 cfm per ft2 at 50 Pa. /  HRV with min SHR eff of 0.75 per IRC Section M1505.3 or IMC Section 403.8</v>
      </c>
      <c r="M450" s="375" t="s">
        <v>3024</v>
      </c>
      <c r="N450" s="375" t="s">
        <v>3024</v>
      </c>
    </row>
    <row r="451" spans="5:14" ht="15.75" hidden="1" customHeight="1">
      <c r="F451" s="37">
        <f t="shared" ref="F451:F456" si="85">F450+1</f>
        <v>3</v>
      </c>
      <c r="G451" s="191"/>
      <c r="H451" s="371" t="s">
        <v>2266</v>
      </c>
      <c r="I451" s="175" t="str">
        <f>CONCATENATE($G$449," ",H451)</f>
        <v>WSEC 2021 Option 2.3</v>
      </c>
      <c r="J451" s="377">
        <v>2</v>
      </c>
      <c r="K451" s="376">
        <v>2</v>
      </c>
      <c r="L451" s="1000" t="str">
        <f>IF($F$19=$N$400,M451,N451)</f>
        <v>Per Section R402.4.1.2 0.6ACH50 / For R-2, 0.15 cfm per ft2 at 50 Pa. /  HRV with min SHR eff of 0.80 per IRC Section M1505.3 or IMC Section 403.8</v>
      </c>
      <c r="M451" s="375" t="s">
        <v>3025</v>
      </c>
      <c r="N451" s="375" t="s">
        <v>3025</v>
      </c>
    </row>
    <row r="452" spans="5:14" ht="15.75" hidden="1" customHeight="1">
      <c r="F452" s="37">
        <f t="shared" si="85"/>
        <v>4</v>
      </c>
      <c r="G452" s="379" t="s">
        <v>2263</v>
      </c>
      <c r="H452" s="380">
        <v>0</v>
      </c>
      <c r="J452" s="381"/>
      <c r="K452" s="381"/>
      <c r="L452" s="382"/>
    </row>
    <row r="453" spans="5:14" ht="15.75" hidden="1" customHeight="1">
      <c r="F453" s="37">
        <f t="shared" si="85"/>
        <v>5</v>
      </c>
      <c r="G453" s="848" t="str">
        <f>$K$400</f>
        <v>WSEC 2018</v>
      </c>
      <c r="H453" s="372" t="s">
        <v>2264</v>
      </c>
      <c r="I453" s="175" t="str">
        <f>CONCATENATE($G$453," ",H453)</f>
        <v>WSEC 2018 Option 2.1</v>
      </c>
      <c r="J453" s="376">
        <v>0.5</v>
      </c>
      <c r="K453" s="377">
        <v>1</v>
      </c>
      <c r="L453" s="1000" t="str">
        <f>IF($F$19=$N$400,M453,N453)</f>
        <v>3.0 ACH50 / High efficiency fans / For R-2, 0.3 cfm per ft2 at 50 Pa. / High efficiency fans</v>
      </c>
      <c r="M453" s="375" t="s">
        <v>2560</v>
      </c>
      <c r="N453" s="375" t="s">
        <v>2560</v>
      </c>
    </row>
    <row r="454" spans="5:14" ht="15.75" hidden="1" customHeight="1">
      <c r="F454" s="37">
        <f t="shared" si="85"/>
        <v>6</v>
      </c>
      <c r="G454" s="191"/>
      <c r="H454" s="372" t="s">
        <v>2265</v>
      </c>
      <c r="I454" s="175" t="str">
        <f>CONCATENATE($G$453," ",H454)</f>
        <v>WSEC 2018 Option 2.2</v>
      </c>
      <c r="J454" s="376">
        <v>1</v>
      </c>
      <c r="K454" s="377">
        <v>1.5</v>
      </c>
      <c r="L454" s="1000" t="str">
        <f>IF($F$19=$N$400,M454,N454)</f>
        <v>2.0 ACH50 / Heat Recovery Ventilation min eff 65%  / For R2, 0.25 cfm per ft2 at 50 Pa / HRV with min SHR eff of 0.65</v>
      </c>
      <c r="M454" s="375" t="s">
        <v>2561</v>
      </c>
      <c r="N454" s="375" t="s">
        <v>2561</v>
      </c>
    </row>
    <row r="455" spans="5:14" ht="15.75" hidden="1" customHeight="1">
      <c r="F455" s="37">
        <f t="shared" si="85"/>
        <v>7</v>
      </c>
      <c r="G455" s="191"/>
      <c r="H455" s="372" t="s">
        <v>2266</v>
      </c>
      <c r="I455" s="175" t="str">
        <f>CONCATENATE($G$453," ",H455)</f>
        <v>WSEC 2018 Option 2.3</v>
      </c>
      <c r="J455" s="376">
        <v>1.5</v>
      </c>
      <c r="K455" s="378">
        <v>2</v>
      </c>
      <c r="L455" s="1000" t="str">
        <f>IF($F$19=$N$400,M455,N455)</f>
        <v>1.5 ACH50 / Heat Recovery Ventilation min eff 75% / For R2, 0.25 cfm per ft2 at 50 Pa  / HRV with min SHR eff of 0.75</v>
      </c>
      <c r="M455" s="375" t="s">
        <v>2562</v>
      </c>
      <c r="N455" s="375" t="s">
        <v>2562</v>
      </c>
    </row>
    <row r="456" spans="5:14" ht="15.75" hidden="1" customHeight="1">
      <c r="F456" s="37">
        <f t="shared" si="85"/>
        <v>8</v>
      </c>
      <c r="G456" s="369"/>
      <c r="H456" s="372" t="s">
        <v>2267</v>
      </c>
      <c r="I456" s="175" t="str">
        <f>CONCATENATE($G$453," ",H456)</f>
        <v>WSEC 2018 Option 2.4</v>
      </c>
      <c r="J456" s="376">
        <v>2</v>
      </c>
      <c r="K456" s="376">
        <v>2.5</v>
      </c>
      <c r="L456" s="1000" t="str">
        <f>IF($F$19=$N$400,M456,N456)</f>
        <v>0.6 ACH50 / Heat Recovery Ventilation min eff 80% / For R2, 0.15 cfm per ft2 at 50 Pa  / HRV with min SHR eff of 0.75</v>
      </c>
      <c r="M456" s="375" t="s">
        <v>2563</v>
      </c>
      <c r="N456" s="375" t="s">
        <v>2563</v>
      </c>
    </row>
    <row r="457" spans="5:14" ht="15.75" hidden="1" customHeight="1">
      <c r="K457" s="13"/>
    </row>
    <row r="458" spans="5:14" ht="15.75" hidden="1" customHeight="1">
      <c r="J458" s="13"/>
    </row>
    <row r="459" spans="5:14" ht="15.75" hidden="1" customHeight="1">
      <c r="E459" s="190" t="s">
        <v>2884</v>
      </c>
      <c r="H459" s="388" t="s">
        <v>2268</v>
      </c>
      <c r="I459" s="109">
        <f>IFERROR(VLOOKUP(H459,Table_Option_1_Selected,2,TRUE),0)</f>
        <v>2</v>
      </c>
      <c r="J459" s="13"/>
    </row>
    <row r="460" spans="5:14" ht="15.75" hidden="1" customHeight="1">
      <c r="H460" s="96" t="s">
        <v>2071</v>
      </c>
      <c r="I460" s="96" t="s">
        <v>2087</v>
      </c>
      <c r="J460" s="115" t="s">
        <v>2088</v>
      </c>
    </row>
    <row r="461" spans="5:14" ht="15.75" hidden="1" customHeight="1">
      <c r="G461" s="40" t="s">
        <v>2283</v>
      </c>
      <c r="H461" s="110"/>
      <c r="I461" s="76"/>
      <c r="J461" s="114"/>
    </row>
    <row r="462" spans="5:14" ht="15.75" hidden="1" customHeight="1">
      <c r="G462" s="37"/>
      <c r="H462" s="110" t="s">
        <v>2078</v>
      </c>
      <c r="I462" s="76">
        <v>0</v>
      </c>
      <c r="J462" s="114" t="s">
        <v>2077</v>
      </c>
    </row>
    <row r="463" spans="5:14" ht="15.75" hidden="1" customHeight="1">
      <c r="G463" s="40" t="str">
        <f>CONCATENATE($E$407," ",H463)</f>
        <v>WSEC 2021 Option 3.1</v>
      </c>
      <c r="H463" s="112" t="str">
        <f t="shared" ref="H463:H470" si="86">IF($E$407=$K$399,H475,H486)</f>
        <v>Option 3.1</v>
      </c>
      <c r="I463" s="386">
        <f t="shared" ref="I463:I472" si="87">IFERROR(VLOOKUP($G463,Table_Option3,$E$409,FALSE),"")</f>
        <v>1</v>
      </c>
      <c r="J463" s="386" t="str">
        <f t="shared" ref="J463:J472" si="88">IFERROR(VLOOKUP($G463,Table_Option3,4,FALSE),"")</f>
        <v>System Type 1 Table R406.2 Energy Star rated gas or propane (U.S. North) Min AFUE 95% for furnace or 90% for boiler)</v>
      </c>
    </row>
    <row r="464" spans="5:14" ht="15.75" hidden="1" customHeight="1">
      <c r="G464" s="40" t="str">
        <f t="shared" ref="G464:G471" si="89">CONCATENATE($E$407," ",H464)</f>
        <v>WSEC 2021 Option 3.2</v>
      </c>
      <c r="H464" s="112" t="str">
        <f t="shared" si="86"/>
        <v>Option 3.2</v>
      </c>
      <c r="I464" s="386">
        <f t="shared" si="87"/>
        <v>0.5</v>
      </c>
      <c r="J464" s="386" t="str">
        <f t="shared" si="88"/>
        <v>System Type 2 Table R406.2 Energy Star Rated gas or propane (U.S.North supplemental heat for heat pump (Min AFUE 95% for furnace or 90% for boiler)</v>
      </c>
    </row>
    <row r="465" spans="5:14" ht="15.75" hidden="1" customHeight="1">
      <c r="G465" s="40" t="str">
        <f t="shared" si="89"/>
        <v>WSEC 2021 Option 3.3</v>
      </c>
      <c r="H465" s="112" t="str">
        <f t="shared" si="86"/>
        <v>Option 3.3</v>
      </c>
      <c r="I465" s="386" t="str">
        <f t="shared" si="87"/>
        <v>NA</v>
      </c>
      <c r="J465" s="386" t="str">
        <f t="shared" si="88"/>
        <v>NA</v>
      </c>
    </row>
    <row r="466" spans="5:14" ht="15.75" hidden="1" customHeight="1">
      <c r="G466" s="40" t="str">
        <f t="shared" si="89"/>
        <v>WSEC 2021 Option 3.4</v>
      </c>
      <c r="H466" s="112" t="str">
        <f t="shared" si="86"/>
        <v>Option 3.4</v>
      </c>
      <c r="I466" s="386">
        <f t="shared" si="87"/>
        <v>1</v>
      </c>
      <c r="J466" s="386" t="str">
        <f t="shared" si="88"/>
        <v xml:space="preserve">Closed-loop ground source or open loop water source Heat Pump. Min COP 3.3 for GSHP or 3.6 for WSHP.w/ Max 150 Ft. Hydraulic Head. </v>
      </c>
    </row>
    <row r="467" spans="5:14" ht="15.75" hidden="1" customHeight="1">
      <c r="G467" s="40" t="str">
        <f t="shared" si="89"/>
        <v>WSEC 2021 Option 3.5</v>
      </c>
      <c r="H467" s="112" t="str">
        <f t="shared" si="86"/>
        <v>Option 3.5</v>
      </c>
      <c r="I467" s="386">
        <f t="shared" si="87"/>
        <v>2</v>
      </c>
      <c r="J467" s="386" t="str">
        <f t="shared" si="88"/>
        <v>Ductless Mini Split Heat Pump W/ Zonal Control. HSPF2 of 9 (HSPF of 10) installed in largest zone of the home and primary heat is Zonal Elec Resist Heat</v>
      </c>
    </row>
    <row r="468" spans="5:14" ht="15.75" hidden="1" customHeight="1">
      <c r="G468" s="40" t="str">
        <f t="shared" si="89"/>
        <v>WSEC 2021 Option 3.6</v>
      </c>
      <c r="H468" s="112" t="str">
        <f t="shared" si="86"/>
        <v>Option 3.6</v>
      </c>
      <c r="I468" s="386" t="str">
        <f t="shared" si="87"/>
        <v>NA</v>
      </c>
      <c r="J468" s="386" t="str">
        <f t="shared" si="88"/>
        <v>Air source ducted Heat Pump w/ Min HSPF2 of 9.4 (HSPF of 11).  A ducted cold climate variable capacity heat pump on the NEEP qualified product list with a min HSPF2 of 8.5 (HSPF of 10) may be used to satisfy this requirement.  If htg design temp is 23F or below,a cold climate variable capacity heat pump is required.</v>
      </c>
    </row>
    <row r="469" spans="5:14" ht="15.75" hidden="1" customHeight="1">
      <c r="G469" s="40" t="str">
        <f t="shared" si="89"/>
        <v>WSEC 2021 Option 3.7</v>
      </c>
      <c r="H469" s="112" t="str">
        <f t="shared" si="86"/>
        <v>Option 3.7</v>
      </c>
      <c r="I469" s="386">
        <f>IFERROR(VLOOKUP($G469,Table_Option3,$E$409,FALSE),"")</f>
        <v>3</v>
      </c>
      <c r="J469" s="386" t="str">
        <f t="shared" si="88"/>
        <v>Ductless Split System with no electric resistance in primary living areas.  HSPF2, of 9 (HSPF of 10), except HSPF2 of 8.1 (HSPF of 9) if heating load is 24000 BTUs or less.</v>
      </c>
    </row>
    <row r="470" spans="5:14" ht="15.75" hidden="1" customHeight="1">
      <c r="G470" s="40" t="str">
        <f t="shared" si="89"/>
        <v>WSEC 2021 Option 3.8</v>
      </c>
      <c r="H470" s="112" t="str">
        <f t="shared" si="86"/>
        <v>Option 3.8</v>
      </c>
      <c r="I470" s="386" t="str">
        <f t="shared" si="87"/>
        <v>NA</v>
      </c>
      <c r="J470" s="386" t="str">
        <f t="shared" si="88"/>
        <v>Air-to-water heat pump with minimum COP of 3.2 @47° F or lessrated per AHRI 550/590.</v>
      </c>
    </row>
    <row r="471" spans="5:14" ht="15.75" hidden="1" customHeight="1">
      <c r="G471" s="40" t="str">
        <f t="shared" si="89"/>
        <v>WSEC 2021 Option 3.9</v>
      </c>
      <c r="H471" s="112" t="str">
        <f>IF($E$407=$K$399,H483,H493)</f>
        <v>Option 3.9</v>
      </c>
      <c r="I471" s="386">
        <f t="shared" si="87"/>
        <v>1.5</v>
      </c>
      <c r="J471" s="386" t="str">
        <f t="shared" si="88"/>
        <v>Gas fired Heat Pumps meeting ANSI Z21.40.2 &amp; Z21.40.4 or CSA w/ Min UEF of 1.15</v>
      </c>
    </row>
    <row r="472" spans="5:14" ht="15.75" hidden="1" customHeight="1">
      <c r="G472" s="40" t="str">
        <f t="shared" ref="G472" si="90">CONCATENATE($E$407," ",H472)</f>
        <v>WSEC 2021 Option 3.10</v>
      </c>
      <c r="H472" s="112" t="str">
        <f>IF($E$407=$K$399,H484,H495)</f>
        <v>Option 3.10</v>
      </c>
      <c r="I472" s="386">
        <f t="shared" si="87"/>
        <v>2.5</v>
      </c>
      <c r="J472" s="386" t="str">
        <f t="shared" si="88"/>
        <v>Combination water and space heating requires Tier 2 NEEA  Advanced gas fired HP water heater Version 1.0</v>
      </c>
    </row>
    <row r="473" spans="5:14" ht="15.75" hidden="1" customHeight="1">
      <c r="G473" s="37"/>
      <c r="J473" s="13"/>
    </row>
    <row r="474" spans="5:14" ht="24.75" hidden="1" customHeight="1">
      <c r="G474" s="96" t="s">
        <v>2284</v>
      </c>
      <c r="J474" s="96" t="s">
        <v>2260</v>
      </c>
      <c r="K474" s="96" t="s">
        <v>2259</v>
      </c>
      <c r="L474" s="999" t="s">
        <v>3044</v>
      </c>
      <c r="M474" s="11" t="s">
        <v>3043</v>
      </c>
      <c r="N474" s="11" t="s">
        <v>3042</v>
      </c>
    </row>
    <row r="475" spans="5:14" ht="15.75" hidden="1" customHeight="1">
      <c r="F475" s="37">
        <v>1</v>
      </c>
      <c r="G475" s="848" t="str">
        <f>$K$399</f>
        <v>WSEC 2021</v>
      </c>
      <c r="H475" s="371" t="s">
        <v>2268</v>
      </c>
      <c r="I475" s="175" t="str">
        <f>CONCATENATE($G$475," ",H475)</f>
        <v>WSEC 2021 Option 3.1</v>
      </c>
      <c r="J475" s="394">
        <v>1</v>
      </c>
      <c r="K475" s="394">
        <v>1</v>
      </c>
      <c r="L475" s="1000" t="str">
        <f t="shared" ref="L475:L484" si="91">IF($F$19=$N$400,M475,N475)</f>
        <v>System Type 1 Table R406.2 Energy Star rated gas or propane (U.S. North) Min AFUE 95% for furnace or 90% for boiler)</v>
      </c>
      <c r="M475" s="375" t="s">
        <v>3030</v>
      </c>
      <c r="N475" s="375" t="s">
        <v>3030</v>
      </c>
    </row>
    <row r="476" spans="5:14" ht="15.75" hidden="1" customHeight="1">
      <c r="F476" s="37">
        <f>F475+1</f>
        <v>2</v>
      </c>
      <c r="G476" s="191"/>
      <c r="H476" s="371" t="s">
        <v>2269</v>
      </c>
      <c r="I476" s="175" t="str">
        <f t="shared" ref="I476:I484" si="92">CONCATENATE($G$475," ",H476)</f>
        <v>WSEC 2021 Option 3.2</v>
      </c>
      <c r="J476" s="394">
        <v>0.5</v>
      </c>
      <c r="K476" s="394">
        <v>0.5</v>
      </c>
      <c r="L476" s="1000" t="str">
        <f t="shared" si="91"/>
        <v>System Type 2 Table R406.2 Energy Star Rated gas or propane (U.S.North supplemental heat for heat pump (Min AFUE 95% for furnace or 90% for boiler)</v>
      </c>
      <c r="M476" s="375" t="s">
        <v>3031</v>
      </c>
      <c r="N476" s="375" t="s">
        <v>3031</v>
      </c>
    </row>
    <row r="477" spans="5:14" ht="15.75" hidden="1" customHeight="1">
      <c r="F477" s="37">
        <f t="shared" ref="F477:F496" si="93">F476+1</f>
        <v>3</v>
      </c>
      <c r="G477" s="191"/>
      <c r="H477" s="371" t="s">
        <v>2270</v>
      </c>
      <c r="I477" s="175" t="str">
        <f t="shared" si="92"/>
        <v>WSEC 2021 Option 3.3</v>
      </c>
      <c r="J477" s="394">
        <v>0.5</v>
      </c>
      <c r="K477" s="394" t="s">
        <v>2261</v>
      </c>
      <c r="L477" s="1000" t="str">
        <f t="shared" si="91"/>
        <v>NA</v>
      </c>
      <c r="M477" s="375" t="s">
        <v>3235</v>
      </c>
      <c r="N477" s="375" t="s">
        <v>2261</v>
      </c>
    </row>
    <row r="478" spans="5:14" ht="15.75" hidden="1" customHeight="1">
      <c r="F478" s="37">
        <f t="shared" si="93"/>
        <v>4</v>
      </c>
      <c r="G478" s="191"/>
      <c r="H478" s="371" t="s">
        <v>2271</v>
      </c>
      <c r="I478" s="175" t="str">
        <f t="shared" si="92"/>
        <v>WSEC 2021 Option 3.4</v>
      </c>
      <c r="J478" s="394">
        <v>1.5</v>
      </c>
      <c r="K478" s="394">
        <v>1</v>
      </c>
      <c r="L478" s="1000" t="str">
        <f t="shared" si="91"/>
        <v xml:space="preserve">Closed-loop ground source or open loop water source Heat Pump. Min COP 3.3 for GSHP or 3.6 for WSHP.w/ Max 150 Ft. Hydraulic Head. </v>
      </c>
      <c r="M478" s="375" t="s">
        <v>3032</v>
      </c>
      <c r="N478" s="375" t="s">
        <v>3032</v>
      </c>
    </row>
    <row r="479" spans="5:14" ht="15.75" hidden="1" customHeight="1">
      <c r="E479" s="972"/>
      <c r="F479" s="37">
        <f t="shared" si="93"/>
        <v>5</v>
      </c>
      <c r="G479" s="379"/>
      <c r="H479" s="371" t="s">
        <v>2853</v>
      </c>
      <c r="I479" s="175" t="str">
        <f t="shared" si="92"/>
        <v>WSEC 2021 Option 3.5</v>
      </c>
      <c r="J479" s="377">
        <v>1.5</v>
      </c>
      <c r="K479" s="377">
        <v>2</v>
      </c>
      <c r="L479" s="1000" t="str">
        <f t="shared" si="91"/>
        <v>Ductless Mini Split Heat Pump W/ Zonal Control. HSPF2 of 9 (HSPF of 10) installed in largest zone of the home and primary heat is Zonal Elec Resist Heat</v>
      </c>
      <c r="M479" s="375" t="s">
        <v>3050</v>
      </c>
      <c r="N479" s="375" t="s">
        <v>3051</v>
      </c>
    </row>
    <row r="480" spans="5:14" ht="15.75" hidden="1" customHeight="1">
      <c r="E480" s="972" t="s">
        <v>2986</v>
      </c>
      <c r="F480" s="37">
        <f t="shared" si="93"/>
        <v>6</v>
      </c>
      <c r="G480" s="379"/>
      <c r="H480" s="371" t="s">
        <v>2272</v>
      </c>
      <c r="I480" s="175" t="str">
        <f t="shared" si="92"/>
        <v>WSEC 2021 Option 3.6</v>
      </c>
      <c r="J480" s="377">
        <v>1</v>
      </c>
      <c r="K480" s="377" t="s">
        <v>2261</v>
      </c>
      <c r="L480" s="1000" t="str">
        <f t="shared" si="91"/>
        <v>Air source ducted Heat Pump w/ Min HSPF2 of 9.4 (HSPF of 11).  A ducted cold climate variable capacity heat pump on the NEEP qualified product list with a min HSPF2 of 8.5 (HSPF of 10) may be used to satisfy this requirement.  If htg design temp is 23F or below,a cold climate variable capacity heat pump is required.</v>
      </c>
      <c r="M480" s="375" t="s">
        <v>3271</v>
      </c>
      <c r="N480" s="375" t="s">
        <v>3271</v>
      </c>
    </row>
    <row r="481" spans="5:14" ht="15.75" hidden="1" customHeight="1">
      <c r="E481" s="96"/>
      <c r="F481" s="37">
        <f t="shared" si="93"/>
        <v>7</v>
      </c>
      <c r="G481" s="379"/>
      <c r="H481" s="371" t="s">
        <v>2852</v>
      </c>
      <c r="I481" s="175" t="str">
        <f t="shared" si="92"/>
        <v>WSEC 2021 Option 3.7</v>
      </c>
      <c r="J481" s="377">
        <v>2</v>
      </c>
      <c r="K481" s="377">
        <v>3</v>
      </c>
      <c r="L481" s="1000" t="str">
        <f t="shared" si="91"/>
        <v>Ductless Split System with no electric resistance in primary living areas.  HSPF2, of 9 (HSPF of 10), except HSPF2 of 8.1 (HSPF of 9) if heating load is 24000 BTUs or less.</v>
      </c>
      <c r="M481" s="375" t="s">
        <v>3033</v>
      </c>
      <c r="N481" s="375" t="s">
        <v>3033</v>
      </c>
    </row>
    <row r="482" spans="5:14" ht="15.75" hidden="1" customHeight="1">
      <c r="F482" s="37">
        <f t="shared" si="93"/>
        <v>8</v>
      </c>
      <c r="G482" s="379"/>
      <c r="H482" s="371" t="s">
        <v>2854</v>
      </c>
      <c r="I482" s="175" t="str">
        <f t="shared" si="92"/>
        <v>WSEC 2021 Option 3.8</v>
      </c>
      <c r="J482" s="377">
        <v>1</v>
      </c>
      <c r="K482" s="377" t="s">
        <v>2261</v>
      </c>
      <c r="L482" s="1000" t="str">
        <f t="shared" si="91"/>
        <v>Air-to-water heat pump with minimum COP of 3.2 @47° F or lessrated per AHRI 550/590.</v>
      </c>
      <c r="M482" s="375" t="s">
        <v>3034</v>
      </c>
      <c r="N482" s="375" t="s">
        <v>3034</v>
      </c>
    </row>
    <row r="483" spans="5:14" ht="15.75" hidden="1" customHeight="1">
      <c r="E483" s="972"/>
      <c r="F483" s="37">
        <f t="shared" si="93"/>
        <v>9</v>
      </c>
      <c r="G483" s="379"/>
      <c r="H483" s="371" t="s">
        <v>2855</v>
      </c>
      <c r="I483" s="175" t="str">
        <f t="shared" si="92"/>
        <v>WSEC 2021 Option 3.9</v>
      </c>
      <c r="J483" s="990">
        <v>1.5</v>
      </c>
      <c r="K483" s="990">
        <v>1.5</v>
      </c>
      <c r="L483" s="1000" t="str">
        <f t="shared" si="91"/>
        <v>Gas fired Heat Pumps meeting ANSI Z21.40.2 &amp; Z21.40.4 or CSA w/ Min UEF of 1.15</v>
      </c>
      <c r="M483" s="988" t="s">
        <v>3028</v>
      </c>
      <c r="N483" s="988" t="s">
        <v>3028</v>
      </c>
    </row>
    <row r="484" spans="5:14" ht="15.75" hidden="1" customHeight="1">
      <c r="F484" s="37">
        <f t="shared" si="93"/>
        <v>10</v>
      </c>
      <c r="G484" s="379"/>
      <c r="H484" s="371" t="s">
        <v>2983</v>
      </c>
      <c r="I484" s="175" t="str">
        <f t="shared" si="92"/>
        <v>WSEC 2021 Option 3.10</v>
      </c>
      <c r="J484" s="990">
        <v>2.5</v>
      </c>
      <c r="K484" s="990">
        <v>2.5</v>
      </c>
      <c r="L484" s="1000" t="str">
        <f t="shared" si="91"/>
        <v>Combination water and space heating requires Tier 2 NEEA  Advanced gas fired HP water heater Version 1.0</v>
      </c>
      <c r="M484" s="988" t="s">
        <v>3029</v>
      </c>
      <c r="N484" s="988" t="s">
        <v>3029</v>
      </c>
    </row>
    <row r="485" spans="5:14" ht="15.75" hidden="1" customHeight="1">
      <c r="E485" s="989" t="s">
        <v>3026</v>
      </c>
      <c r="F485" s="37">
        <f t="shared" si="93"/>
        <v>11</v>
      </c>
      <c r="G485" s="379"/>
      <c r="H485" s="813" t="s">
        <v>2077</v>
      </c>
      <c r="I485" s="813" t="s">
        <v>2077</v>
      </c>
      <c r="J485" s="813"/>
      <c r="K485" s="813"/>
      <c r="L485" s="813"/>
      <c r="M485" s="580"/>
      <c r="N485" s="580"/>
    </row>
    <row r="486" spans="5:14" ht="15.75" hidden="1" customHeight="1">
      <c r="F486" s="37">
        <v>1</v>
      </c>
      <c r="G486" s="848" t="str">
        <f>$K$400</f>
        <v>WSEC 2018</v>
      </c>
      <c r="H486" s="372" t="s">
        <v>2268</v>
      </c>
      <c r="I486" s="175" t="str">
        <f>CONCATENATE($G$486," ",H486)</f>
        <v>WSEC 2018 Option 3.1</v>
      </c>
      <c r="J486" s="376">
        <v>1</v>
      </c>
      <c r="K486" s="377">
        <v>1</v>
      </c>
      <c r="L486" s="1000" t="str">
        <f t="shared" ref="L486:L492" si="94">IF($F$19=$N$400,M486,N486)</f>
        <v>High Efficiency Fossil fuel-fired furnace or boiler as primary heating system (Min AFUE 95% for furnace or 90% for boiler)</v>
      </c>
      <c r="M486" s="375" t="s">
        <v>2564</v>
      </c>
      <c r="N486" s="375" t="s">
        <v>2564</v>
      </c>
    </row>
    <row r="487" spans="5:14" ht="15.75" hidden="1" customHeight="1">
      <c r="F487" s="37">
        <f t="shared" si="93"/>
        <v>2</v>
      </c>
      <c r="G487" s="191"/>
      <c r="H487" s="372" t="s">
        <v>2269</v>
      </c>
      <c r="I487" s="175" t="str">
        <f t="shared" ref="I487:I492" si="95">CONCATENATE($G$486," ",H487)</f>
        <v>WSEC 2018 Option 3.2</v>
      </c>
      <c r="J487" s="376">
        <v>1</v>
      </c>
      <c r="K487" s="389" t="s">
        <v>2261</v>
      </c>
      <c r="L487" s="1000" t="str">
        <f t="shared" si="94"/>
        <v>Heat Pump:  Air Source with min HSPF of 9.5</v>
      </c>
      <c r="M487" s="375" t="s">
        <v>2288</v>
      </c>
      <c r="N487" s="375" t="s">
        <v>2288</v>
      </c>
    </row>
    <row r="488" spans="5:14" ht="15.75" hidden="1" customHeight="1">
      <c r="F488" s="37">
        <f t="shared" si="93"/>
        <v>3</v>
      </c>
      <c r="G488" s="191"/>
      <c r="H488" s="372" t="s">
        <v>2270</v>
      </c>
      <c r="I488" s="175" t="str">
        <f t="shared" si="95"/>
        <v>WSEC 2018 Option 3.3</v>
      </c>
      <c r="J488" s="376">
        <v>1.5</v>
      </c>
      <c r="K488" s="377">
        <v>1</v>
      </c>
      <c r="L488" s="1000" t="str">
        <f t="shared" si="94"/>
        <v xml:space="preserve">Heat Pump: Closed-loop ground source or open loop water source. Min COP 3.3 for GSHP or 3.6 for WSHP. </v>
      </c>
      <c r="M488" s="375" t="s">
        <v>2565</v>
      </c>
      <c r="N488" s="375" t="s">
        <v>2565</v>
      </c>
    </row>
    <row r="489" spans="5:14" ht="15.75" hidden="1" customHeight="1">
      <c r="F489" s="37">
        <f t="shared" si="93"/>
        <v>4</v>
      </c>
      <c r="G489" s="191"/>
      <c r="H489" s="372" t="s">
        <v>2271</v>
      </c>
      <c r="I489" s="175" t="str">
        <f t="shared" si="95"/>
        <v>WSEC 2018 Option 3.4</v>
      </c>
      <c r="J489" s="376">
        <v>1.5</v>
      </c>
      <c r="K489" s="377">
        <v>2</v>
      </c>
      <c r="L489" s="1000" t="str">
        <f t="shared" si="94"/>
        <v>Ductless Split System, Zonal Control. Min HSPF of 10. Or Zonal Elec Resist Heat&lt;=2kW</v>
      </c>
      <c r="M489" s="375" t="s">
        <v>2838</v>
      </c>
      <c r="N489" s="375" t="s">
        <v>2838</v>
      </c>
    </row>
    <row r="490" spans="5:14" ht="15.75" hidden="1" customHeight="1">
      <c r="F490" s="37">
        <f t="shared" si="93"/>
        <v>5</v>
      </c>
      <c r="G490" s="191"/>
      <c r="H490" s="372" t="s">
        <v>2840</v>
      </c>
      <c r="I490" s="175" t="str">
        <f t="shared" si="95"/>
        <v>WSEC 2018 Option 3.5.1</v>
      </c>
      <c r="J490" s="376">
        <v>1.5</v>
      </c>
      <c r="K490" s="378" t="s">
        <v>2261</v>
      </c>
      <c r="L490" s="1000" t="str">
        <f t="shared" si="94"/>
        <v>Central Heat Pump:  Air Source with min HSPF of 11</v>
      </c>
      <c r="M490" s="375" t="s">
        <v>2843</v>
      </c>
      <c r="N490" s="375" t="s">
        <v>2843</v>
      </c>
    </row>
    <row r="491" spans="5:14" ht="15.75" hidden="1" customHeight="1">
      <c r="F491" s="37">
        <f t="shared" si="93"/>
        <v>6</v>
      </c>
      <c r="G491" s="191"/>
      <c r="H491" s="372" t="s">
        <v>2841</v>
      </c>
      <c r="I491" s="175" t="str">
        <f t="shared" si="95"/>
        <v>WSEC 2018 Option 3.5.2</v>
      </c>
      <c r="J491" s="376">
        <v>1.5</v>
      </c>
      <c r="K491" s="378" t="s">
        <v>2261</v>
      </c>
      <c r="L491" s="1000" t="str">
        <f t="shared" si="94"/>
        <v>Central Heat Pump: Air source variable speed w/ min HSPF of 10, plus any one of: (1) NEEP cold climate, (2) Reduce UA by 22% and no Option 1 already selected, (3) Option 5.5 unitary Tier IV HPWH, (4) Option 7.1 if not already selected, dryer CEF&gt;=3.93</v>
      </c>
      <c r="M491" s="375" t="s">
        <v>2842</v>
      </c>
      <c r="N491" s="375" t="s">
        <v>2842</v>
      </c>
    </row>
    <row r="492" spans="5:14" ht="15.75" hidden="1" customHeight="1">
      <c r="F492" s="37">
        <f t="shared" si="93"/>
        <v>7</v>
      </c>
      <c r="G492" s="191"/>
      <c r="H492" s="372" t="s">
        <v>2272</v>
      </c>
      <c r="I492" s="175" t="str">
        <f t="shared" si="95"/>
        <v>WSEC 2018 Option 3.6</v>
      </c>
      <c r="J492" s="376">
        <v>2</v>
      </c>
      <c r="K492" s="376">
        <v>3</v>
      </c>
      <c r="L492" s="1000" t="str">
        <f t="shared" si="94"/>
        <v>Ductless Split System with no electric resistance in primary living areas</v>
      </c>
      <c r="M492" s="375" t="s">
        <v>2289</v>
      </c>
      <c r="N492" s="375" t="s">
        <v>2289</v>
      </c>
    </row>
    <row r="493" spans="5:14" ht="15.75" hidden="1" customHeight="1">
      <c r="F493" s="37">
        <f t="shared" si="93"/>
        <v>8</v>
      </c>
      <c r="G493" s="191" t="s">
        <v>2263</v>
      </c>
      <c r="H493" s="813" t="s">
        <v>2077</v>
      </c>
      <c r="I493" s="813"/>
      <c r="J493" s="814">
        <v>0</v>
      </c>
      <c r="K493" s="815">
        <v>0</v>
      </c>
      <c r="L493" s="998"/>
      <c r="M493" s="813"/>
      <c r="N493" s="813"/>
    </row>
    <row r="494" spans="5:14" ht="15.75" hidden="1" customHeight="1">
      <c r="F494" s="37">
        <f t="shared" si="93"/>
        <v>9</v>
      </c>
      <c r="G494" s="191" t="s">
        <v>2263</v>
      </c>
      <c r="H494" s="813" t="s">
        <v>2077</v>
      </c>
      <c r="I494" s="813"/>
      <c r="J494" s="814">
        <v>0</v>
      </c>
      <c r="K494" s="815">
        <v>0</v>
      </c>
      <c r="L494" s="998"/>
      <c r="M494" s="813"/>
      <c r="N494" s="813"/>
    </row>
    <row r="495" spans="5:14" ht="15.75" hidden="1" customHeight="1">
      <c r="F495" s="37">
        <f t="shared" si="93"/>
        <v>10</v>
      </c>
      <c r="G495" s="191" t="s">
        <v>2263</v>
      </c>
      <c r="H495" s="813" t="s">
        <v>2077</v>
      </c>
      <c r="I495" s="813"/>
      <c r="J495" s="814">
        <v>0</v>
      </c>
      <c r="K495" s="815">
        <v>0</v>
      </c>
      <c r="L495" s="998"/>
      <c r="M495" s="813"/>
      <c r="N495" s="813"/>
    </row>
    <row r="496" spans="5:14" ht="15.75" hidden="1" customHeight="1">
      <c r="F496" s="37">
        <f t="shared" si="93"/>
        <v>11</v>
      </c>
      <c r="G496" s="191"/>
      <c r="H496" s="813"/>
      <c r="I496" s="813"/>
      <c r="J496" s="814"/>
      <c r="K496" s="815"/>
      <c r="L496" s="998"/>
      <c r="M496" s="813"/>
      <c r="N496" s="813"/>
    </row>
    <row r="497" spans="5:14" ht="15.75" hidden="1" customHeight="1">
      <c r="F497" s="37"/>
    </row>
    <row r="498" spans="5:14" ht="15.75" hidden="1" customHeight="1">
      <c r="F498" s="37"/>
    </row>
    <row r="499" spans="5:14" ht="15.75" hidden="1" customHeight="1">
      <c r="E499" s="601" t="s">
        <v>2879</v>
      </c>
      <c r="F499" s="37"/>
      <c r="H499" s="11" t="s">
        <v>2880</v>
      </c>
    </row>
    <row r="500" spans="5:14" ht="15.75" hidden="1" customHeight="1">
      <c r="F500" s="11" t="str">
        <f>MenuSelection_Option3</f>
        <v>Option 3.6</v>
      </c>
      <c r="G500" s="848" t="str">
        <f>$K$399</f>
        <v>WSEC 2021</v>
      </c>
      <c r="H500" s="856" t="s">
        <v>2853</v>
      </c>
      <c r="I500" s="856" t="s">
        <v>2852</v>
      </c>
      <c r="J500" s="858">
        <f>IF(OR(MenuSelection_Option3=I500,MenuSelection_Option3=H500),1,0)</f>
        <v>0</v>
      </c>
      <c r="K500" s="857"/>
    </row>
    <row r="501" spans="5:14" ht="15.75" hidden="1" customHeight="1">
      <c r="F501" s="37"/>
      <c r="G501" s="848" t="str">
        <f>$K$400</f>
        <v>WSEC 2018</v>
      </c>
      <c r="H501" s="709" t="s">
        <v>2271</v>
      </c>
      <c r="I501" s="709" t="s">
        <v>2272</v>
      </c>
      <c r="J501" s="858">
        <f>IF(OR(MenuSelection_Option3=I501,MenuSelection_Option3=H501),1,0)</f>
        <v>1</v>
      </c>
    </row>
    <row r="502" spans="5:14" ht="15.75" hidden="1" customHeight="1">
      <c r="I502" s="601" t="s">
        <v>2877</v>
      </c>
      <c r="J502" s="859">
        <f>IF(Menu_CodeVersion=G500,J500,J501)</f>
        <v>0</v>
      </c>
      <c r="K502" s="860" t="s">
        <v>2881</v>
      </c>
    </row>
    <row r="503" spans="5:14" ht="15.75" hidden="1" customHeight="1">
      <c r="F503" s="37"/>
    </row>
    <row r="504" spans="5:14" ht="15.75" hidden="1" customHeight="1">
      <c r="E504" s="37"/>
      <c r="H504" s="388" t="s">
        <v>2985</v>
      </c>
      <c r="I504" s="109">
        <f>IFERROR(VLOOKUP(H504,Table_Option_4_Selected,2,TRUE),)</f>
        <v>0</v>
      </c>
      <c r="J504" s="13"/>
    </row>
    <row r="505" spans="5:14" ht="15.75" hidden="1" customHeight="1">
      <c r="H505" s="96" t="s">
        <v>2072</v>
      </c>
      <c r="J505" s="13"/>
    </row>
    <row r="506" spans="5:14" ht="15.75" hidden="1" customHeight="1">
      <c r="G506" s="40" t="s">
        <v>2283</v>
      </c>
      <c r="H506" s="76"/>
      <c r="J506" s="114" t="s">
        <v>2077</v>
      </c>
    </row>
    <row r="507" spans="5:14" ht="15.75" hidden="1" customHeight="1">
      <c r="H507" s="107" t="s">
        <v>2078</v>
      </c>
      <c r="I507" s="383">
        <v>0</v>
      </c>
      <c r="J507" s="114"/>
    </row>
    <row r="508" spans="5:14" ht="15.75" hidden="1" customHeight="1">
      <c r="G508" s="40" t="str">
        <f>CONCATENATE($E$407," ",H508)</f>
        <v>WSEC 2021 Option 3.11</v>
      </c>
      <c r="H508" s="112" t="str">
        <f>IF($E$407=$K$399,H512,H513)</f>
        <v>Option 3.11</v>
      </c>
      <c r="I508" s="390">
        <f>IFERROR(VLOOKUP($G508,Table_Option_39,$E$409,FALSE),"")</f>
        <v>0.5</v>
      </c>
      <c r="J508" s="386" t="str">
        <f>IFERROR(VLOOKUP($G508,Table_Option_39,4,FALSE),"")</f>
        <v>Connected Energy Star Certified smart thermostat.</v>
      </c>
    </row>
    <row r="509" spans="5:14" ht="15.75" hidden="1" customHeight="1">
      <c r="G509" s="40"/>
      <c r="H509" s="112"/>
      <c r="I509" s="390" t="str">
        <f>IFERROR(VLOOKUP($G509,Table_Option4,$E$409,FALSE),"")</f>
        <v/>
      </c>
      <c r="J509" s="386" t="str">
        <f>IFERROR(VLOOKUP($G509,Table_Option4,4,FALSE),"")</f>
        <v/>
      </c>
    </row>
    <row r="510" spans="5:14" ht="15.75" hidden="1" customHeight="1">
      <c r="J510" s="13"/>
    </row>
    <row r="511" spans="5:14" ht="25.5" hidden="1" customHeight="1">
      <c r="E511" s="601" t="s">
        <v>2984</v>
      </c>
      <c r="G511" s="190" t="s">
        <v>2284</v>
      </c>
      <c r="J511" s="96" t="s">
        <v>2260</v>
      </c>
      <c r="K511" s="96" t="s">
        <v>2259</v>
      </c>
      <c r="L511" s="999" t="s">
        <v>3044</v>
      </c>
      <c r="M511" s="11" t="s">
        <v>3043</v>
      </c>
      <c r="N511" s="11" t="s">
        <v>3042</v>
      </c>
    </row>
    <row r="512" spans="5:14" ht="15.75" hidden="1" customHeight="1">
      <c r="E512" s="996" t="s">
        <v>3036</v>
      </c>
      <c r="F512" s="37"/>
      <c r="G512" s="848" t="str">
        <f>$K$399</f>
        <v>WSEC 2021</v>
      </c>
      <c r="H512" s="371" t="s">
        <v>2984</v>
      </c>
      <c r="I512" s="175" t="str">
        <f>CONCATENATE($G$512," ",H512)</f>
        <v>WSEC 2021 Option 3.11</v>
      </c>
      <c r="J512" s="994">
        <v>0.5</v>
      </c>
      <c r="K512" s="994">
        <v>0.5</v>
      </c>
      <c r="L512" s="1000" t="str">
        <f>IF($F$19=$N$400,M512,N512)</f>
        <v>Connected Energy Star Certified smart thermostat.</v>
      </c>
      <c r="M512" s="995" t="s">
        <v>3027</v>
      </c>
      <c r="N512" s="995" t="s">
        <v>3027</v>
      </c>
    </row>
    <row r="513" spans="5:14" ht="15.75" hidden="1" customHeight="1">
      <c r="F513" s="37"/>
      <c r="G513" s="848" t="str">
        <f>$K$400</f>
        <v>WSEC 2018</v>
      </c>
      <c r="H513" s="372"/>
      <c r="I513" s="175" t="str">
        <f>CONCATENATE($G$513," ",H513)</f>
        <v xml:space="preserve">WSEC 2018 </v>
      </c>
      <c r="J513" s="376"/>
      <c r="K513" s="377"/>
      <c r="L513" s="998"/>
      <c r="M513" s="375"/>
      <c r="N513" s="375"/>
    </row>
    <row r="514" spans="5:14" ht="15.75" hidden="1" customHeight="1"/>
    <row r="515" spans="5:14" ht="15.75" hidden="1" customHeight="1"/>
    <row r="516" spans="5:14" ht="15.75" hidden="1" customHeight="1"/>
    <row r="517" spans="5:14" ht="15.75" hidden="1" customHeight="1"/>
    <row r="518" spans="5:14" ht="15.75" hidden="1" customHeight="1">
      <c r="E518" s="190" t="s">
        <v>2080</v>
      </c>
      <c r="H518" s="388" t="s">
        <v>2273</v>
      </c>
      <c r="I518" s="109" t="str">
        <f>IFERROR(VLOOKUP(H518,Table_Option_4_Selected,2,TRUE),)</f>
        <v>N/A</v>
      </c>
      <c r="J518" s="13"/>
    </row>
    <row r="519" spans="5:14" ht="15.75" hidden="1" customHeight="1">
      <c r="H519" s="96" t="s">
        <v>2072</v>
      </c>
      <c r="J519" s="13"/>
    </row>
    <row r="520" spans="5:14" ht="15.75" hidden="1" customHeight="1">
      <c r="G520" s="40" t="s">
        <v>2283</v>
      </c>
      <c r="H520" s="76"/>
      <c r="J520" s="114" t="s">
        <v>2077</v>
      </c>
    </row>
    <row r="521" spans="5:14" ht="15.75" hidden="1" customHeight="1">
      <c r="H521" s="107" t="s">
        <v>2078</v>
      </c>
      <c r="I521" s="383">
        <v>0</v>
      </c>
      <c r="J521" s="114"/>
    </row>
    <row r="522" spans="5:14" ht="15.75" hidden="1" customHeight="1">
      <c r="G522" s="40" t="str">
        <f>CONCATENATE($E$407," ",H522)</f>
        <v>WSEC 2021 Option 4.1</v>
      </c>
      <c r="H522" s="112" t="str">
        <f>IF($E$407=$K$399,H526,H528)</f>
        <v>Option 4.1</v>
      </c>
      <c r="I522" s="390" t="str">
        <f>IFERROR(VLOOKUP($G522,Table_Option4,$E$409,FALSE),"")</f>
        <v>N/A</v>
      </c>
      <c r="J522" s="386" t="str">
        <f>IFERROR(VLOOKUP($G522,Table_Option4,4,FALSE),"")</f>
        <v>Ducts/distribution system in conditioned space per R403.3.2 Electric resistance, hydronic, ductless and gas fired systems &lt; 80% AFUE systems not permitted</v>
      </c>
    </row>
    <row r="523" spans="5:14" ht="15.75" hidden="1" customHeight="1">
      <c r="G523" s="40" t="str">
        <f>CONCATENATE($E$407," ",H523)</f>
        <v>WSEC 2021 0</v>
      </c>
      <c r="H523" s="112">
        <f>IF($E$407=$K$399,H527,H529)</f>
        <v>0</v>
      </c>
      <c r="I523" s="390" t="str">
        <f>IFERROR(VLOOKUP($G523,Table_Option4,$E$409,FALSE),"")</f>
        <v/>
      </c>
      <c r="J523" s="386" t="str">
        <f>IFERROR(VLOOKUP($G523,Table_Option4,4,FALSE),"")</f>
        <v/>
      </c>
    </row>
    <row r="524" spans="5:14" ht="15.75" hidden="1" customHeight="1">
      <c r="J524" s="13"/>
    </row>
    <row r="525" spans="5:14" ht="30" hidden="1" customHeight="1">
      <c r="G525" s="190" t="s">
        <v>2284</v>
      </c>
      <c r="J525" s="96" t="s">
        <v>2260</v>
      </c>
      <c r="K525" s="96" t="s">
        <v>2259</v>
      </c>
      <c r="L525" s="999" t="s">
        <v>3044</v>
      </c>
      <c r="M525" s="11" t="s">
        <v>3043</v>
      </c>
      <c r="N525" s="11" t="s">
        <v>3042</v>
      </c>
    </row>
    <row r="526" spans="5:14" ht="15.75" hidden="1" customHeight="1">
      <c r="F526" s="37">
        <v>1</v>
      </c>
      <c r="G526" s="848" t="str">
        <f>$K$399</f>
        <v>WSEC 2021</v>
      </c>
      <c r="H526" s="371" t="s">
        <v>2273</v>
      </c>
      <c r="I526" s="175" t="str">
        <f>CONCATENATE($G$526," ",H526)</f>
        <v>WSEC 2021 Option 4.1</v>
      </c>
      <c r="J526" s="991">
        <v>0.5</v>
      </c>
      <c r="K526" s="992" t="s">
        <v>2987</v>
      </c>
      <c r="L526" s="1000" t="str">
        <f>IF($F$19=$N$400,M526,N526)</f>
        <v>Ducts/distribution system in conditioned space per R403.3.2 Electric resistance, hydronic, ductless and gas fired systems &lt; 80% AFUE systems not permitted</v>
      </c>
      <c r="M526" s="993" t="s">
        <v>3035</v>
      </c>
      <c r="N526" s="993" t="s">
        <v>3035</v>
      </c>
    </row>
    <row r="527" spans="5:14" ht="15.75" hidden="1" customHeight="1">
      <c r="F527" s="37">
        <f>F526+1</f>
        <v>2</v>
      </c>
      <c r="G527" s="379" t="s">
        <v>2263</v>
      </c>
      <c r="H527" s="380"/>
      <c r="I527" s="380"/>
      <c r="J527" s="381"/>
      <c r="K527" s="381"/>
      <c r="L527" s="382"/>
      <c r="M527" s="382"/>
      <c r="N527" s="382"/>
    </row>
    <row r="528" spans="5:14" ht="15.75" hidden="1" customHeight="1">
      <c r="F528" s="37">
        <f>F527+1</f>
        <v>3</v>
      </c>
      <c r="G528" s="848" t="str">
        <f>$K$400</f>
        <v>WSEC 2018</v>
      </c>
      <c r="H528" s="372" t="s">
        <v>2273</v>
      </c>
      <c r="I528" s="175" t="str">
        <f>CONCATENATE($G$528," ",H528)</f>
        <v>WSEC 2018 Option 4.1</v>
      </c>
      <c r="J528" s="376">
        <v>0.5</v>
      </c>
      <c r="K528" s="377">
        <v>0.5</v>
      </c>
      <c r="L528" s="1000" t="str">
        <f>IF($F$19=$N$400,M528,N528)</f>
        <v>Ducts deeply buried in unconditioned attic / Duct leakage&lt;=3 cfm/100 sf of floor area</v>
      </c>
      <c r="M528" s="375" t="s">
        <v>2292</v>
      </c>
      <c r="N528" s="375" t="s">
        <v>2292</v>
      </c>
    </row>
    <row r="529" spans="5:14" ht="15.75" hidden="1" customHeight="1">
      <c r="F529" s="37">
        <f>F528+1</f>
        <v>4</v>
      </c>
      <c r="G529" s="369"/>
      <c r="H529" s="372" t="s">
        <v>2274</v>
      </c>
      <c r="I529" s="175" t="str">
        <f>CONCATENATE($G$528," ",H529)</f>
        <v>WSEC 2018 Option 4.2</v>
      </c>
      <c r="J529" s="376">
        <v>1</v>
      </c>
      <c r="K529" s="378" t="s">
        <v>2261</v>
      </c>
      <c r="L529" s="1000" t="str">
        <f>IF($F$19=$N$400,M529,N529)</f>
        <v>Ducts/distribution system in conditioned space per R403.3.7</v>
      </c>
      <c r="M529" s="393" t="s">
        <v>2290</v>
      </c>
      <c r="N529" s="393" t="s">
        <v>2290</v>
      </c>
    </row>
    <row r="530" spans="5:14" ht="15.75" hidden="1" customHeight="1">
      <c r="K530" s="13"/>
    </row>
    <row r="531" spans="5:14" ht="15.75" hidden="1" customHeight="1">
      <c r="J531" s="13"/>
    </row>
    <row r="532" spans="5:14" ht="15.75" hidden="1" customHeight="1">
      <c r="E532" s="190" t="s">
        <v>2885</v>
      </c>
      <c r="H532" s="111" t="s">
        <v>2276</v>
      </c>
      <c r="I532" s="109">
        <f>IFERROR(VLOOKUP(H532,Table_Option_51_Selected,2,TRUE),0)</f>
        <v>0.5</v>
      </c>
      <c r="J532" s="13"/>
    </row>
    <row r="533" spans="5:14" ht="15.75" hidden="1" customHeight="1">
      <c r="H533" s="96" t="s">
        <v>2073</v>
      </c>
      <c r="I533" s="96" t="s">
        <v>2087</v>
      </c>
      <c r="J533" s="115" t="s">
        <v>2088</v>
      </c>
    </row>
    <row r="534" spans="5:14" ht="15.75" hidden="1" customHeight="1">
      <c r="G534" s="40" t="s">
        <v>2283</v>
      </c>
      <c r="H534" s="76"/>
      <c r="I534" s="76"/>
      <c r="J534" s="114"/>
    </row>
    <row r="535" spans="5:14" ht="15.75" hidden="1" customHeight="1">
      <c r="H535" s="110" t="s">
        <v>2078</v>
      </c>
      <c r="I535" s="383"/>
      <c r="J535" s="114"/>
    </row>
    <row r="536" spans="5:14" ht="15.75" hidden="1" customHeight="1">
      <c r="G536" s="40" t="str">
        <f>CONCATENATE($E$407," ",H536)</f>
        <v>WSEC 2021 Option 5.1</v>
      </c>
      <c r="H536" s="112" t="str">
        <f>IF($E$407=$K$399,H539,H540)</f>
        <v>Option 5.1</v>
      </c>
      <c r="I536" s="390">
        <f>IFERROR(VLOOKUP($G536,Table_Option51,$E$409,FALSE),"")</f>
        <v>0.5</v>
      </c>
      <c r="J536" s="386" t="str">
        <f>IFERROR(VLOOKUP($G536,Table_Option51,4,FALSE),"")</f>
        <v>Drain Water Heat Recovery shall include Min. 2 showers incl. tub-showers w/ Min. efficiency of 40% for equal flow or 54% for unequal flow. Rated and labeled CSA B545.1 or IAPMMO IGC 346-2017</v>
      </c>
    </row>
    <row r="537" spans="5:14" ht="15.75" hidden="1" customHeight="1">
      <c r="J537" s="13"/>
    </row>
    <row r="538" spans="5:14" ht="28.5" hidden="1" customHeight="1">
      <c r="G538" s="96" t="s">
        <v>2284</v>
      </c>
      <c r="J538" s="96" t="s">
        <v>2260</v>
      </c>
      <c r="K538" s="96" t="s">
        <v>2259</v>
      </c>
      <c r="L538" s="999" t="s">
        <v>3044</v>
      </c>
      <c r="M538" s="11" t="s">
        <v>3043</v>
      </c>
      <c r="N538" s="11" t="s">
        <v>3042</v>
      </c>
    </row>
    <row r="539" spans="5:14" ht="15.75" hidden="1" customHeight="1">
      <c r="F539" s="37">
        <v>1</v>
      </c>
      <c r="G539" s="848" t="str">
        <f>$K$399</f>
        <v>WSEC 2021</v>
      </c>
      <c r="H539" s="843" t="s">
        <v>2276</v>
      </c>
      <c r="I539" s="175" t="str">
        <f>CONCATENATE($G$539," ",H539)</f>
        <v>WSEC 2021 Option 5.1</v>
      </c>
      <c r="J539" s="391">
        <v>0.5</v>
      </c>
      <c r="K539" s="391">
        <v>0.5</v>
      </c>
      <c r="L539" s="1000" t="str">
        <f>IF($F$19=$N$400,M539,N539)</f>
        <v>Drain Water Heat Recovery shall include Min. 2 showers incl. tub-showers w/ Min. efficiency of 40% for equal flow or 54% for unequal flow. Rated and labeled CSA B545.1 or IAPMMO IGC 346-2017</v>
      </c>
      <c r="M539" s="393" t="s">
        <v>3037</v>
      </c>
      <c r="N539" s="393" t="s">
        <v>3037</v>
      </c>
    </row>
    <row r="540" spans="5:14" ht="15.75" hidden="1" customHeight="1">
      <c r="F540" s="37">
        <f>F539+1</f>
        <v>2</v>
      </c>
      <c r="G540" s="848" t="str">
        <f>$K$400</f>
        <v>WSEC 2018</v>
      </c>
      <c r="H540" s="372" t="s">
        <v>2276</v>
      </c>
      <c r="I540" s="175" t="str">
        <f>CONCATENATE($G$540," ",H540)</f>
        <v>WSEC 2018 Option 5.1</v>
      </c>
      <c r="J540" s="376">
        <v>0.5</v>
      </c>
      <c r="K540" s="378">
        <v>0.5</v>
      </c>
      <c r="L540" s="1000" t="str">
        <f>IF($F$19=$N$400,M540,N540)</f>
        <v>Drain Water Heat Recovery</v>
      </c>
      <c r="M540" s="393" t="s">
        <v>2089</v>
      </c>
      <c r="N540" s="393" t="s">
        <v>2089</v>
      </c>
    </row>
    <row r="541" spans="5:14" ht="15.75" hidden="1" customHeight="1">
      <c r="K541" s="13"/>
    </row>
    <row r="542" spans="5:14" ht="15.75" hidden="1" customHeight="1">
      <c r="H542" s="111" t="s">
        <v>2277</v>
      </c>
      <c r="I542" s="109" t="str">
        <f>IFERROR(VLOOKUP(H542,Table_Option_52_Selected,E409,FALSE),0)</f>
        <v>Compact Hot Water Distribution System Max volume between heat source and fixture is 16 Oz per section R403.5.2, on demand circ. Pump may be required.</v>
      </c>
      <c r="J542" s="13"/>
    </row>
    <row r="543" spans="5:14" ht="15.75" hidden="1" customHeight="1">
      <c r="H543" s="96" t="s">
        <v>2073</v>
      </c>
      <c r="I543" s="96" t="s">
        <v>2087</v>
      </c>
      <c r="J543" s="115" t="s">
        <v>2088</v>
      </c>
    </row>
    <row r="544" spans="5:14" ht="15.75" hidden="1" customHeight="1">
      <c r="G544" s="40" t="s">
        <v>2283</v>
      </c>
      <c r="H544" s="76"/>
      <c r="I544" s="76"/>
      <c r="J544" s="114"/>
    </row>
    <row r="545" spans="6:14" ht="15.75" hidden="1" customHeight="1">
      <c r="H545" s="110" t="s">
        <v>2078</v>
      </c>
      <c r="I545" s="383"/>
      <c r="J545" s="114"/>
    </row>
    <row r="546" spans="6:14" ht="15.75" hidden="1" customHeight="1">
      <c r="G546" s="40" t="str">
        <f>CONCATENATE($E$407," ",H546)</f>
        <v>WSEC 2021 Option 5.2</v>
      </c>
      <c r="H546" s="112" t="str">
        <f>IF($E$407=$K$399,H549,"")</f>
        <v>Option 5.2</v>
      </c>
      <c r="I546" s="390">
        <f>IFERROR(VLOOKUP($G546,Table_Option52,$E$409,FALSE),0)</f>
        <v>0.5</v>
      </c>
      <c r="J546" s="390" t="str">
        <f>IFERROR(VLOOKUP($G546,Table_Option52,4,FALSE),0)</f>
        <v>Compact Hot Water Distribution System Max volume between heat source and fixture is 16 Oz per section R403.5.2, on demand circ. Pump may be required.</v>
      </c>
    </row>
    <row r="547" spans="6:14" ht="15.75" hidden="1" customHeight="1">
      <c r="J547" s="13"/>
    </row>
    <row r="548" spans="6:14" ht="15.75" hidden="1" customHeight="1">
      <c r="G548" s="96" t="s">
        <v>2284</v>
      </c>
      <c r="J548" s="96" t="s">
        <v>2260</v>
      </c>
      <c r="K548" s="96" t="s">
        <v>2259</v>
      </c>
      <c r="L548" s="999" t="s">
        <v>3044</v>
      </c>
      <c r="M548" s="11" t="s">
        <v>3043</v>
      </c>
      <c r="N548" s="11" t="s">
        <v>3042</v>
      </c>
    </row>
    <row r="549" spans="6:14" ht="15.75" hidden="1" customHeight="1">
      <c r="F549" s="37">
        <v>1</v>
      </c>
      <c r="G549" s="848" t="str">
        <f>$K$399</f>
        <v>WSEC 2021</v>
      </c>
      <c r="H549" s="843" t="s">
        <v>2277</v>
      </c>
      <c r="I549" s="175" t="str">
        <f>CONCATENATE($G$549," ",H549)</f>
        <v>WSEC 2021 Option 5.2</v>
      </c>
      <c r="J549" s="391">
        <v>0.5</v>
      </c>
      <c r="K549" s="391">
        <v>0.5</v>
      </c>
      <c r="L549" s="1000" t="str">
        <f>IF($F$19=$N$400,M549,N549)</f>
        <v>Compact Hot Water Distribution System Max volume between heat source and fixture is 16 Oz per section R403.5.2, on demand circ. Pump may be required.</v>
      </c>
      <c r="M549" s="392" t="s">
        <v>3038</v>
      </c>
      <c r="N549" s="392" t="s">
        <v>3038</v>
      </c>
    </row>
    <row r="550" spans="6:14" ht="15.75" hidden="1" customHeight="1">
      <c r="F550" s="37">
        <f>F549+1</f>
        <v>2</v>
      </c>
      <c r="G550" s="848" t="str">
        <f>$K$400</f>
        <v>WSEC 2018</v>
      </c>
      <c r="H550" s="372"/>
      <c r="I550" s="175"/>
      <c r="J550" s="376"/>
      <c r="K550" s="378"/>
      <c r="L550" s="998"/>
      <c r="M550" s="393"/>
      <c r="N550" s="393"/>
    </row>
    <row r="551" spans="6:14" ht="15.75" hidden="1" customHeight="1">
      <c r="K551" s="13"/>
    </row>
    <row r="552" spans="6:14" ht="15.75" hidden="1" customHeight="1">
      <c r="J552" s="13"/>
    </row>
    <row r="553" spans="6:14" ht="15.75" hidden="1" customHeight="1">
      <c r="J553" s="13"/>
    </row>
    <row r="554" spans="6:14" ht="15.75" hidden="1" customHeight="1">
      <c r="J554" s="13"/>
    </row>
    <row r="555" spans="6:14" ht="15.75" hidden="1" customHeight="1">
      <c r="H555" s="102" t="s">
        <v>2278</v>
      </c>
      <c r="I555" s="109">
        <f>IFERROR(VLOOKUP(H555,Table_Option_5_Selected,2,TRUE),0)</f>
        <v>0.5</v>
      </c>
      <c r="J555" s="13"/>
    </row>
    <row r="556" spans="6:14" ht="15.75" hidden="1" customHeight="1">
      <c r="H556" s="96" t="s">
        <v>2074</v>
      </c>
      <c r="I556" s="96" t="s">
        <v>2087</v>
      </c>
      <c r="J556" s="115" t="s">
        <v>2088</v>
      </c>
    </row>
    <row r="557" spans="6:14" ht="15.75" hidden="1" customHeight="1">
      <c r="G557" s="40" t="s">
        <v>2283</v>
      </c>
      <c r="H557" s="110"/>
      <c r="I557" s="76"/>
      <c r="J557" s="114"/>
    </row>
    <row r="558" spans="6:14" ht="15.75" hidden="1" customHeight="1">
      <c r="H558" s="110" t="s">
        <v>2078</v>
      </c>
      <c r="I558" s="383"/>
      <c r="J558" s="114"/>
    </row>
    <row r="559" spans="6:14" ht="15.75" hidden="1" customHeight="1">
      <c r="G559" s="40" t="str">
        <f>CONCATENATE($E$407," ",H559)</f>
        <v>WSEC 2021 Option 5.3</v>
      </c>
      <c r="H559" s="112" t="str">
        <f t="shared" ref="H559:H564" si="96">IF($E$407=$K$399,H567,H573)</f>
        <v>Option 5.3</v>
      </c>
      <c r="I559" s="390">
        <f t="shared" ref="I559:I564" si="97">IFERROR(VLOOKUP($G559,Table_Option5,$E$409,FALSE),"")</f>
        <v>0.5</v>
      </c>
      <c r="J559" s="386" t="str">
        <f t="shared" ref="J559:J564" si="98">IFERROR(VLOOKUP($G559,Table_Option5,4,FALSE),"")</f>
        <v>Energy Star gas or propane water heater with min UEF of 0.80</v>
      </c>
    </row>
    <row r="560" spans="6:14" ht="15.75" hidden="1" customHeight="1">
      <c r="G560" s="40" t="str">
        <f t="shared" ref="G560:G562" si="99">CONCATENATE($E$407," ",H560)</f>
        <v>WSEC 2021 Option 5.4</v>
      </c>
      <c r="H560" s="112" t="str">
        <f t="shared" si="96"/>
        <v>Option 5.4</v>
      </c>
      <c r="I560" s="390">
        <f t="shared" si="97"/>
        <v>1</v>
      </c>
      <c r="J560" s="386" t="str">
        <f t="shared" si="98"/>
        <v>Energy star gas or propane water heater with min UEF of 0.91 OR Solar supplemental water heating OR GSHP meeting requirements of Option 3.4</v>
      </c>
    </row>
    <row r="561" spans="5:14" ht="15.75" hidden="1" customHeight="1">
      <c r="G561" s="40" t="str">
        <f t="shared" si="99"/>
        <v>WSEC 2021 Option 5.5</v>
      </c>
      <c r="H561" s="112" t="str">
        <f t="shared" si="96"/>
        <v>Option 5.5</v>
      </c>
      <c r="I561" s="390">
        <f t="shared" si="97"/>
        <v>1.5</v>
      </c>
      <c r="J561" s="386" t="str">
        <f t="shared" si="98"/>
        <v>Gas-fired heat pump water heater meeting NEEA Tier 2 OR for R2, meeting ANSI Z21.40.2 and Z21.40.4 or CSA with min UEF of 1.15.  For R2, must serve all units</v>
      </c>
    </row>
    <row r="562" spans="5:14" ht="15.75" hidden="1" customHeight="1">
      <c r="G562" s="40" t="str">
        <f t="shared" si="99"/>
        <v>WSEC 2021 Option 5.6</v>
      </c>
      <c r="H562" s="112" t="str">
        <f t="shared" si="96"/>
        <v>Option 5.6</v>
      </c>
      <c r="I562" s="390">
        <f t="shared" si="97"/>
        <v>2.5</v>
      </c>
      <c r="J562" s="386" t="str">
        <f t="shared" si="98"/>
        <v>Electric heat pump water heater meeting NEEA Tier 3.  For R2, must serve all units, any recirc piping must be insulated to R8</v>
      </c>
    </row>
    <row r="563" spans="5:14" ht="15.75" hidden="1" customHeight="1">
      <c r="G563" s="40" t="str">
        <f t="shared" ref="G563:G564" si="100">CONCATENATE($E$407," ",H563)</f>
        <v>WSEC 2021 Option 5.7</v>
      </c>
      <c r="H563" s="112" t="str">
        <f t="shared" si="96"/>
        <v>Option 5.7</v>
      </c>
      <c r="I563" s="390">
        <f t="shared" si="97"/>
        <v>3</v>
      </c>
      <c r="J563" s="386" t="str">
        <f t="shared" si="98"/>
        <v>Split system heat pump water heater with min UEF of 2.9 OR for R2, NEEA Tier 3.</v>
      </c>
    </row>
    <row r="564" spans="5:14" ht="15.75" hidden="1" customHeight="1">
      <c r="G564" s="40" t="str">
        <f t="shared" si="100"/>
        <v>WSEC 2021 Option 5.8</v>
      </c>
      <c r="H564" s="112" t="str">
        <f t="shared" si="96"/>
        <v>Option 5.8</v>
      </c>
      <c r="I564" s="390">
        <f t="shared" si="97"/>
        <v>2.5</v>
      </c>
      <c r="J564" s="386" t="str">
        <f t="shared" si="98"/>
        <v>Combination water heating and space heating system with gas-fired heat pump water heater meeting NEEA Tier 2.  For R2, must supply all units.</v>
      </c>
    </row>
    <row r="565" spans="5:14" ht="15.75" hidden="1" customHeight="1">
      <c r="H565" s="395"/>
      <c r="I565" s="396"/>
      <c r="J565" s="396"/>
    </row>
    <row r="566" spans="5:14" ht="28.5" hidden="1" customHeight="1">
      <c r="G566" s="96" t="s">
        <v>2284</v>
      </c>
      <c r="J566" s="96" t="s">
        <v>2260</v>
      </c>
      <c r="K566" s="96" t="s">
        <v>2259</v>
      </c>
      <c r="L566" s="999" t="s">
        <v>3044</v>
      </c>
      <c r="M566" s="11" t="s">
        <v>3043</v>
      </c>
      <c r="N566" s="11" t="s">
        <v>3042</v>
      </c>
    </row>
    <row r="567" spans="5:14" ht="15.75" hidden="1" customHeight="1">
      <c r="E567" s="972"/>
      <c r="F567" s="37">
        <v>1</v>
      </c>
      <c r="G567" s="848" t="str">
        <f>$K$399</f>
        <v>WSEC 2021</v>
      </c>
      <c r="H567" s="844" t="s">
        <v>2278</v>
      </c>
      <c r="I567" s="175" t="str">
        <f t="shared" ref="I567:I572" si="101">CONCATENATE($G$567," ",H567)</f>
        <v>WSEC 2021 Option 5.3</v>
      </c>
      <c r="J567" s="394">
        <v>0.5</v>
      </c>
      <c r="K567" s="394">
        <v>0.5</v>
      </c>
      <c r="L567" s="1000" t="str">
        <f t="shared" ref="L567:L577" si="102">IF($F$19=$N$400,M567,N567)</f>
        <v>Energy Star gas or propane water heater with min UEF of 0.80</v>
      </c>
      <c r="M567" s="375" t="s">
        <v>2990</v>
      </c>
      <c r="N567" s="375" t="s">
        <v>2990</v>
      </c>
    </row>
    <row r="568" spans="5:14" ht="15.75" hidden="1" customHeight="1">
      <c r="F568" s="37">
        <f>F567+1</f>
        <v>2</v>
      </c>
      <c r="G568" s="191"/>
      <c r="H568" s="844" t="s">
        <v>2279</v>
      </c>
      <c r="I568" s="175" t="str">
        <f t="shared" si="101"/>
        <v>WSEC 2021 Option 5.4</v>
      </c>
      <c r="J568" s="394">
        <v>1</v>
      </c>
      <c r="K568" s="394">
        <v>1</v>
      </c>
      <c r="L568" s="1000" t="str">
        <f t="shared" si="102"/>
        <v>Energy star gas or propane water heater with min UEF of 0.91 OR Solar supplemental water heating OR GSHP meeting requirements of Option 3.4</v>
      </c>
      <c r="M568" s="375" t="s">
        <v>2995</v>
      </c>
      <c r="N568" s="375" t="s">
        <v>2995</v>
      </c>
    </row>
    <row r="569" spans="5:14" ht="15.75" hidden="1" customHeight="1">
      <c r="F569" s="37">
        <f t="shared" ref="F569:F577" si="103">F568+1</f>
        <v>3</v>
      </c>
      <c r="G569" s="379"/>
      <c r="H569" s="844" t="s">
        <v>2280</v>
      </c>
      <c r="I569" s="175" t="str">
        <f t="shared" si="101"/>
        <v>WSEC 2021 Option 5.5</v>
      </c>
      <c r="J569" s="394">
        <v>1.5</v>
      </c>
      <c r="K569" s="394">
        <v>1.5</v>
      </c>
      <c r="L569" s="1000" t="str">
        <f t="shared" si="102"/>
        <v>Gas-fired heat pump water heater meeting NEEA Tier 2 OR for R2, meeting ANSI Z21.40.2 and Z21.40.4 or CSA with min UEF of 1.15.  For R2, must serve all units</v>
      </c>
      <c r="M569" s="375" t="s">
        <v>3045</v>
      </c>
      <c r="N569" s="375" t="s">
        <v>2996</v>
      </c>
    </row>
    <row r="570" spans="5:14" ht="15.75" hidden="1" customHeight="1">
      <c r="F570" s="37">
        <f t="shared" si="103"/>
        <v>4</v>
      </c>
      <c r="G570" s="379"/>
      <c r="H570" s="844" t="s">
        <v>2281</v>
      </c>
      <c r="I570" s="175" t="str">
        <f t="shared" si="101"/>
        <v>WSEC 2021 Option 5.6</v>
      </c>
      <c r="J570" s="394">
        <v>2</v>
      </c>
      <c r="K570" s="394">
        <v>2.5</v>
      </c>
      <c r="L570" s="1000" t="str">
        <f t="shared" si="102"/>
        <v>Electric heat pump water heater meeting NEEA Tier 3.  For R2, must serve all units, any recirc piping must be insulated to R8</v>
      </c>
      <c r="M570" s="375" t="s">
        <v>3046</v>
      </c>
      <c r="N570" s="375" t="s">
        <v>2997</v>
      </c>
    </row>
    <row r="571" spans="5:14" ht="15.75" hidden="1" customHeight="1">
      <c r="F571" s="37">
        <f t="shared" si="103"/>
        <v>5</v>
      </c>
      <c r="G571" s="379"/>
      <c r="H571" s="844" t="s">
        <v>2988</v>
      </c>
      <c r="I571" s="175" t="str">
        <f t="shared" si="101"/>
        <v>WSEC 2021 Option 5.7</v>
      </c>
      <c r="J571" s="394">
        <v>2.5</v>
      </c>
      <c r="K571" s="394">
        <v>3</v>
      </c>
      <c r="L571" s="1000" t="str">
        <f t="shared" si="102"/>
        <v>Split system heat pump water heater with min UEF of 2.9 OR for R2, NEEA Tier 3.</v>
      </c>
      <c r="M571" s="375" t="s">
        <v>3047</v>
      </c>
      <c r="N571" s="375" t="s">
        <v>2998</v>
      </c>
    </row>
    <row r="572" spans="5:14" ht="15.75" hidden="1" customHeight="1">
      <c r="F572" s="37">
        <f t="shared" si="103"/>
        <v>6</v>
      </c>
      <c r="G572" s="379"/>
      <c r="H572" s="844" t="s">
        <v>2989</v>
      </c>
      <c r="I572" s="175" t="str">
        <f t="shared" si="101"/>
        <v>WSEC 2021 Option 5.8</v>
      </c>
      <c r="J572" s="394">
        <v>2.5</v>
      </c>
      <c r="K572" s="394">
        <v>2.5</v>
      </c>
      <c r="L572" s="1000" t="str">
        <f t="shared" si="102"/>
        <v>Combination water heating and space heating system with gas-fired heat pump water heater meeting NEEA Tier 2.  For R2, must supply all units.</v>
      </c>
      <c r="M572" s="375" t="s">
        <v>3048</v>
      </c>
      <c r="N572" s="375" t="s">
        <v>2992</v>
      </c>
    </row>
    <row r="573" spans="5:14" ht="15.75" hidden="1" customHeight="1">
      <c r="F573" s="37">
        <v>1</v>
      </c>
      <c r="G573" s="848" t="str">
        <f>$K$400</f>
        <v>WSEC 2018</v>
      </c>
      <c r="H573" s="372" t="s">
        <v>2277</v>
      </c>
      <c r="I573" s="175" t="str">
        <f>CONCATENATE($G$573," ",H573)</f>
        <v>WSEC 2018 Option 5.2</v>
      </c>
      <c r="J573" s="376">
        <v>0.5</v>
      </c>
      <c r="K573" s="376">
        <v>0.5</v>
      </c>
      <c r="L573" s="1000" t="str">
        <f t="shared" si="102"/>
        <v>Gas or propane water heater with min UEF of 0.80</v>
      </c>
      <c r="M573" s="375" t="s">
        <v>2291</v>
      </c>
      <c r="N573" s="375" t="s">
        <v>2291</v>
      </c>
    </row>
    <row r="574" spans="5:14" ht="15.75" hidden="1" customHeight="1">
      <c r="F574" s="37">
        <f t="shared" si="103"/>
        <v>2</v>
      </c>
      <c r="G574" s="191"/>
      <c r="H574" s="372" t="s">
        <v>2278</v>
      </c>
      <c r="I574" s="175" t="str">
        <f t="shared" ref="I574:I578" si="104">CONCATENATE($G$573," ",H574)</f>
        <v>WSEC 2018 Option 5.3</v>
      </c>
      <c r="J574" s="376">
        <v>1</v>
      </c>
      <c r="K574" s="376">
        <v>1</v>
      </c>
      <c r="L574" s="1000" t="str">
        <f t="shared" si="102"/>
        <v>Gas or propane water heater with min UEF of 0.91 OR Solar supplemental OR GSHP</v>
      </c>
      <c r="M574" s="375" t="s">
        <v>2293</v>
      </c>
      <c r="N574" s="375" t="s">
        <v>2293</v>
      </c>
    </row>
    <row r="575" spans="5:14" ht="15.75" hidden="1" customHeight="1">
      <c r="F575" s="37">
        <f t="shared" si="103"/>
        <v>3</v>
      </c>
      <c r="G575" s="191"/>
      <c r="H575" s="372" t="s">
        <v>2279</v>
      </c>
      <c r="I575" s="175" t="str">
        <f t="shared" si="104"/>
        <v>WSEC 2018 Option 5.4</v>
      </c>
      <c r="J575" s="376">
        <v>1.5</v>
      </c>
      <c r="K575" s="377">
        <v>2</v>
      </c>
      <c r="L575" s="1000" t="str">
        <f t="shared" si="102"/>
        <v>NEEA Tier 1 heat pump water heater</v>
      </c>
      <c r="M575" s="393" t="s">
        <v>2566</v>
      </c>
      <c r="N575" s="393" t="s">
        <v>2566</v>
      </c>
    </row>
    <row r="576" spans="5:14" ht="15.75" hidden="1" customHeight="1">
      <c r="F576" s="37">
        <f t="shared" si="103"/>
        <v>4</v>
      </c>
      <c r="G576" s="191"/>
      <c r="H576" s="372" t="s">
        <v>2280</v>
      </c>
      <c r="I576" s="175" t="str">
        <f t="shared" si="104"/>
        <v>WSEC 2018 Option 5.5</v>
      </c>
      <c r="J576" s="376">
        <v>2</v>
      </c>
      <c r="K576" s="377">
        <v>2.5</v>
      </c>
      <c r="L576" s="1000" t="str">
        <f t="shared" si="102"/>
        <v>NEEA Tier 3 heat pump water heater</v>
      </c>
      <c r="M576" s="393" t="s">
        <v>2567</v>
      </c>
      <c r="N576" s="393" t="s">
        <v>2567</v>
      </c>
    </row>
    <row r="577" spans="5:14" ht="15.75" hidden="1" customHeight="1">
      <c r="F577" s="37">
        <f t="shared" si="103"/>
        <v>5</v>
      </c>
      <c r="G577" s="191"/>
      <c r="H577" s="372" t="s">
        <v>2281</v>
      </c>
      <c r="I577" s="175" t="str">
        <f t="shared" si="104"/>
        <v>WSEC 2018 Option 5.6</v>
      </c>
      <c r="J577" s="376">
        <v>2.5</v>
      </c>
      <c r="K577" s="376">
        <v>3</v>
      </c>
      <c r="L577" s="1000" t="str">
        <f t="shared" si="102"/>
        <v>Split system heat pump water heater with min UEF of 2.9 for R3 OR for R2, NEEA Tier 3.</v>
      </c>
      <c r="M577" s="375" t="s">
        <v>3047</v>
      </c>
      <c r="N577" s="375" t="s">
        <v>2991</v>
      </c>
    </row>
    <row r="578" spans="5:14" ht="15.75" hidden="1" customHeight="1">
      <c r="F578" s="37">
        <f>F576+1</f>
        <v>5</v>
      </c>
      <c r="G578" s="369"/>
      <c r="H578" s="974" t="s">
        <v>2077</v>
      </c>
      <c r="I578" s="175" t="str">
        <f t="shared" si="104"/>
        <v>WSEC 2018 -</v>
      </c>
      <c r="J578" s="376"/>
      <c r="K578" s="376"/>
      <c r="L578" s="998"/>
      <c r="M578" s="375"/>
      <c r="N578" s="375"/>
    </row>
    <row r="579" spans="5:14" ht="15.75" hidden="1" customHeight="1">
      <c r="F579" s="37"/>
    </row>
    <row r="580" spans="5:14" ht="15.75" hidden="1" customHeight="1"/>
    <row r="581" spans="5:14" ht="15.75" hidden="1" customHeight="1">
      <c r="E581" s="845" t="s">
        <v>2864</v>
      </c>
      <c r="G581" s="40" t="s">
        <v>2275</v>
      </c>
      <c r="H581" s="102" t="s">
        <v>2086</v>
      </c>
      <c r="I581" s="109">
        <f>IFERROR(VLOOKUP(H581,Table_Option_5d,2,TRUE),0)</f>
        <v>0.5</v>
      </c>
      <c r="J581" s="13"/>
    </row>
    <row r="582" spans="5:14" ht="15.75" hidden="1" customHeight="1">
      <c r="H582" s="96" t="s">
        <v>2075</v>
      </c>
      <c r="I582" s="96" t="s">
        <v>2087</v>
      </c>
      <c r="J582" s="115" t="s">
        <v>2088</v>
      </c>
    </row>
    <row r="583" spans="5:14" ht="15.75" hidden="1" customHeight="1">
      <c r="H583" s="110" t="s">
        <v>2078</v>
      </c>
      <c r="I583" s="76">
        <v>0</v>
      </c>
      <c r="J583" s="114" t="s">
        <v>2077</v>
      </c>
    </row>
    <row r="584" spans="5:14" ht="15.75" hidden="1" customHeight="1">
      <c r="H584" s="112" t="s">
        <v>2082</v>
      </c>
      <c r="I584" s="103">
        <v>0.5</v>
      </c>
      <c r="J584" s="113" t="s">
        <v>2089</v>
      </c>
    </row>
    <row r="585" spans="5:14" ht="15.75" hidden="1" customHeight="1">
      <c r="J585" s="13"/>
    </row>
    <row r="586" spans="5:14" ht="15.75" hidden="1" customHeight="1">
      <c r="J586" s="13"/>
    </row>
    <row r="587" spans="5:14" ht="15.75" hidden="1" customHeight="1">
      <c r="J587" s="13"/>
    </row>
    <row r="588" spans="5:14" ht="15.75" hidden="1" customHeight="1">
      <c r="E588" s="190" t="s">
        <v>2085</v>
      </c>
      <c r="H588" s="102" t="s">
        <v>2085</v>
      </c>
      <c r="I588" s="109">
        <f>IFERROR(VLOOKUP(H588,Table_Option_6_Selected,2,TRUE),0)</f>
        <v>0</v>
      </c>
      <c r="J588" s="13"/>
    </row>
    <row r="589" spans="5:14" ht="15.75" hidden="1" customHeight="1">
      <c r="H589" s="96" t="s">
        <v>2076</v>
      </c>
      <c r="I589" s="96" t="s">
        <v>2087</v>
      </c>
      <c r="J589" s="115" t="s">
        <v>2088</v>
      </c>
    </row>
    <row r="590" spans="5:14" ht="15.75" hidden="1" customHeight="1">
      <c r="G590" s="40" t="s">
        <v>2283</v>
      </c>
      <c r="H590" s="107"/>
      <c r="I590" s="76"/>
      <c r="J590" s="76"/>
    </row>
    <row r="591" spans="5:14" ht="15.75" hidden="1" customHeight="1">
      <c r="H591" s="107" t="s">
        <v>2078</v>
      </c>
      <c r="I591" s="76">
        <v>0</v>
      </c>
      <c r="J591" s="114" t="s">
        <v>2077</v>
      </c>
    </row>
    <row r="592" spans="5:14" ht="15.75" hidden="1" customHeight="1">
      <c r="G592" s="40" t="str">
        <f t="shared" ref="G592" si="105">CONCATENATE($E$407," ",H592)</f>
        <v>WSEC 2021 Option 6.1</v>
      </c>
      <c r="H592" s="112" t="str">
        <f>IF($E$407=$K$399,H595,H596)</f>
        <v>Option 6.1</v>
      </c>
      <c r="I592" s="103">
        <f>IFERROR(VLOOKUP(G592,Table_Option6,$E$409,FALSE),"")</f>
        <v>2.5</v>
      </c>
      <c r="J592" s="386" t="str">
        <f>IFERROR(VLOOKUP($G592,Table_Option6,4,FALSE),"")</f>
        <v>On-site wind or solar electric energy, 0.5 credit per 600 kWh of generation up to maximum of 4.5 credits</v>
      </c>
    </row>
    <row r="593" spans="5:27" ht="15.75" hidden="1" customHeight="1">
      <c r="Z593" s="13"/>
    </row>
    <row r="594" spans="5:27" ht="27" hidden="1" customHeight="1">
      <c r="G594" s="96" t="s">
        <v>2284</v>
      </c>
      <c r="J594" s="96" t="s">
        <v>3071</v>
      </c>
      <c r="K594" s="96" t="s">
        <v>3072</v>
      </c>
      <c r="L594" s="999" t="s">
        <v>3044</v>
      </c>
      <c r="M594" s="11" t="s">
        <v>3043</v>
      </c>
      <c r="N594" s="11" t="s">
        <v>3042</v>
      </c>
      <c r="AA594" s="13"/>
    </row>
    <row r="595" spans="5:27" ht="15.75" hidden="1" customHeight="1">
      <c r="F595" s="37">
        <v>1</v>
      </c>
      <c r="G595" s="848" t="str">
        <f>$K$399</f>
        <v>WSEC 2021</v>
      </c>
      <c r="H595" s="846" t="s">
        <v>2282</v>
      </c>
      <c r="I595" s="175" t="str">
        <f>CONCATENATE($G$595," ",H595)</f>
        <v>WSEC 2021 Option 6.1</v>
      </c>
      <c r="J595" s="1010">
        <f>IFERROR(MIN(4.5,FLOOR(0.5*$F$59/600,0.5)),"")</f>
        <v>2.5</v>
      </c>
      <c r="K595" s="1010">
        <f>J595</f>
        <v>2.5</v>
      </c>
      <c r="L595" s="1000" t="str">
        <f>IF($F$19=$N$400,M595,N595)</f>
        <v>On-site wind or solar electric energy, 0.5 credit per 600 kWh of generation up to maximum of 4.5 credits</v>
      </c>
      <c r="M595" s="393" t="s">
        <v>2963</v>
      </c>
      <c r="N595" s="393" t="s">
        <v>2963</v>
      </c>
      <c r="AA595" s="13"/>
    </row>
    <row r="596" spans="5:27" ht="15.75" hidden="1" customHeight="1">
      <c r="F596" s="37">
        <f>F595+1</f>
        <v>2</v>
      </c>
      <c r="G596" s="848" t="str">
        <f>$K$400</f>
        <v>WSEC 2018</v>
      </c>
      <c r="H596" s="372" t="s">
        <v>2282</v>
      </c>
      <c r="I596" s="175" t="str">
        <f>CONCATENATE($G$596," ",H596)</f>
        <v>WSEC 2018 Option 6.1</v>
      </c>
      <c r="J596" s="1011">
        <f>IFERROR(MIN(3,ROUNDDOWN(1*$F$59/1200,0)),"")</f>
        <v>2</v>
      </c>
      <c r="K596" s="1010">
        <f>J596</f>
        <v>2</v>
      </c>
      <c r="L596" s="1000" t="str">
        <f>IF($F$19=$N$400,M596,N596)</f>
        <v>On-site wind or solar electric energy, 1 credit per 1200 kWh of generation up to maximum of 3 credits</v>
      </c>
      <c r="M596" s="393" t="s">
        <v>2964</v>
      </c>
      <c r="N596" s="393" t="s">
        <v>2964</v>
      </c>
      <c r="AA596" s="13"/>
    </row>
    <row r="597" spans="5:27" ht="15.75" hidden="1" customHeight="1">
      <c r="AA597" s="13"/>
    </row>
    <row r="598" spans="5:27" ht="15.75" hidden="1" customHeight="1">
      <c r="Z598" s="13"/>
    </row>
    <row r="599" spans="5:27" ht="15.75" hidden="1" customHeight="1">
      <c r="E599" s="190" t="s">
        <v>2886</v>
      </c>
      <c r="H599" s="102"/>
      <c r="I599" s="109">
        <f>IFERROR(VLOOKUP(H599,Table_Option_6_Selected,2,TRUE),0)</f>
        <v>0</v>
      </c>
      <c r="J599" s="13"/>
      <c r="Z599" s="13"/>
    </row>
    <row r="600" spans="5:27" ht="15.75" hidden="1" customHeight="1">
      <c r="H600" s="96" t="s">
        <v>2076</v>
      </c>
      <c r="I600" s="96" t="s">
        <v>2087</v>
      </c>
      <c r="J600" s="115" t="s">
        <v>2088</v>
      </c>
      <c r="Z600" s="13"/>
    </row>
    <row r="601" spans="5:27" ht="15.75" hidden="1" customHeight="1">
      <c r="G601" s="40" t="s">
        <v>2283</v>
      </c>
      <c r="H601" s="107"/>
      <c r="I601" s="76"/>
      <c r="J601" s="76"/>
      <c r="Z601" s="13"/>
    </row>
    <row r="602" spans="5:27" ht="15.75" hidden="1" customHeight="1">
      <c r="H602" s="107" t="s">
        <v>2078</v>
      </c>
      <c r="I602" s="76">
        <v>0</v>
      </c>
      <c r="J602" s="114" t="s">
        <v>2077</v>
      </c>
      <c r="Z602" s="13"/>
    </row>
    <row r="603" spans="5:27" ht="15.75" hidden="1" customHeight="1">
      <c r="G603" s="40" t="str">
        <f t="shared" ref="G603" si="106">CONCATENATE($E$407," ",H603)</f>
        <v>WSEC 2021 Option 7.1</v>
      </c>
      <c r="H603" s="112" t="str">
        <f>H607</f>
        <v>Option 7.1</v>
      </c>
      <c r="I603" s="103">
        <f>IFERROR(VLOOKUP(G603,Table_Option7,$E$409,FALSE),"")</f>
        <v>1.5</v>
      </c>
      <c r="J603" s="386" t="str">
        <f>IFERROR(VLOOKUP($G603,Table_Option7,4,FALSE),"")</f>
        <v xml:space="preserve">All of:  Energy Star rated, most efficient dishwasher, refrigerator, washinging machine and dryer.  </v>
      </c>
    </row>
    <row r="604" spans="5:27" ht="15.75" hidden="1" customHeight="1"/>
    <row r="605" spans="5:27" ht="15.75" hidden="1" customHeight="1"/>
    <row r="606" spans="5:27" ht="28.5" hidden="1" customHeight="1">
      <c r="G606" s="96" t="s">
        <v>2284</v>
      </c>
      <c r="J606" s="96" t="s">
        <v>2260</v>
      </c>
      <c r="K606" s="96" t="s">
        <v>2259</v>
      </c>
      <c r="L606" s="999" t="s">
        <v>3044</v>
      </c>
      <c r="M606" s="11" t="s">
        <v>3043</v>
      </c>
      <c r="N606" s="11" t="s">
        <v>3042</v>
      </c>
    </row>
    <row r="607" spans="5:27" ht="15.75" hidden="1" customHeight="1">
      <c r="F607" s="37">
        <v>1</v>
      </c>
      <c r="G607" s="849" t="str">
        <f>$K$399</f>
        <v>WSEC 2021</v>
      </c>
      <c r="H607" s="112" t="s">
        <v>2286</v>
      </c>
      <c r="I607" s="175" t="str">
        <f>CONCATENATE($G$607," ",H607)</f>
        <v>WSEC 2021 Option 7.1</v>
      </c>
      <c r="J607" s="394">
        <v>0.5</v>
      </c>
      <c r="K607" s="394">
        <v>1.5</v>
      </c>
      <c r="L607" s="1000" t="str">
        <f>IF($F$19=$N$400,M607,N607)</f>
        <v xml:space="preserve">All of:  Energy Star rated, most efficient dishwasher, refrigerator, washinging machine and dryer.  </v>
      </c>
      <c r="M607" s="997" t="s">
        <v>3041</v>
      </c>
      <c r="N607" s="997" t="s">
        <v>3041</v>
      </c>
    </row>
    <row r="608" spans="5:27" ht="15.75" hidden="1" customHeight="1">
      <c r="G608" s="849" t="str">
        <f>$K$400</f>
        <v>WSEC 2018</v>
      </c>
      <c r="H608" s="112" t="s">
        <v>2286</v>
      </c>
      <c r="I608" s="175" t="str">
        <f>CONCATENATE($G$608," ",H608)</f>
        <v>WSEC 2018 Option 7.1</v>
      </c>
      <c r="J608" s="394">
        <v>0.5</v>
      </c>
      <c r="K608" s="394">
        <v>1.5</v>
      </c>
      <c r="L608" s="1000" t="str">
        <f>IF($F$19=$N$400,M608,N608)</f>
        <v>Appliance Package</v>
      </c>
      <c r="M608" s="393" t="s">
        <v>2285</v>
      </c>
      <c r="N608" s="393" t="s">
        <v>2285</v>
      </c>
    </row>
    <row r="609" spans="5:25" ht="15.75" hidden="1" customHeight="1"/>
    <row r="610" spans="5:25" ht="15.75" hidden="1" customHeight="1"/>
    <row r="611" spans="5:25" ht="15.75" hidden="1" customHeight="1"/>
    <row r="612" spans="5:25" ht="15.75" hidden="1" customHeight="1">
      <c r="E612" s="125"/>
      <c r="F612" s="125"/>
      <c r="G612" s="125"/>
      <c r="H612" s="125"/>
      <c r="I612" s="125" t="s">
        <v>2105</v>
      </c>
      <c r="J612" s="125"/>
      <c r="K612" s="125"/>
      <c r="L612" s="125"/>
      <c r="M612" s="125"/>
      <c r="N612" s="125"/>
      <c r="O612" s="125"/>
      <c r="P612" s="125"/>
      <c r="Q612" s="125"/>
      <c r="R612" s="125"/>
      <c r="S612" s="125"/>
      <c r="T612" s="125"/>
      <c r="U612" s="125"/>
      <c r="V612" s="125"/>
      <c r="W612" s="125"/>
      <c r="X612" s="125"/>
      <c r="Y612" s="125"/>
    </row>
    <row r="613" spans="5:25" ht="15.75" hidden="1" customHeight="1">
      <c r="H613" s="96" t="s">
        <v>1973</v>
      </c>
    </row>
    <row r="614" spans="5:25" ht="15.75" hidden="1" customHeight="1">
      <c r="H614" s="121" t="s">
        <v>2098</v>
      </c>
      <c r="I614" s="123" t="s">
        <v>2099</v>
      </c>
      <c r="J614" s="123" t="s">
        <v>2100</v>
      </c>
    </row>
    <row r="615" spans="5:25" ht="15.75" hidden="1" customHeight="1">
      <c r="G615" s="12" t="str">
        <f t="shared" ref="G615:G623" si="107">E29</f>
        <v>Doors U =</v>
      </c>
      <c r="H615" s="126">
        <f>HLOOKUP($F$628,Table_Uvalue_Options,U635,FALSE)</f>
        <v>0.3</v>
      </c>
      <c r="I615" s="122">
        <f t="shared" ref="I615:I623" si="108">G29</f>
        <v>91.1111111111111</v>
      </c>
      <c r="J615" s="103">
        <f t="shared" ref="J615:J623" si="109">IFERROR(H615*I615,"")</f>
        <v>27.333333333333329</v>
      </c>
    </row>
    <row r="616" spans="5:25" ht="37.5" hidden="1" customHeight="1">
      <c r="G616" s="12" t="str">
        <f t="shared" si="107"/>
        <v>Overhead Glazing U =</v>
      </c>
      <c r="H616" s="126">
        <f t="shared" ref="H616:H623" si="110">HLOOKUP($F$628,Table_Uvalue_Options,U636,FALSE)</f>
        <v>0.5</v>
      </c>
      <c r="I616" s="122">
        <f t="shared" si="108"/>
        <v>0</v>
      </c>
      <c r="J616" s="103">
        <f t="shared" si="109"/>
        <v>0</v>
      </c>
    </row>
    <row r="617" spans="5:25" ht="15.75" hidden="1" customHeight="1">
      <c r="G617" s="12" t="str">
        <f t="shared" si="107"/>
        <v>Vertical Glazing U =</v>
      </c>
      <c r="H617" s="126">
        <f t="shared" si="110"/>
        <v>0.3</v>
      </c>
      <c r="I617" s="122">
        <f t="shared" si="108"/>
        <v>132.25</v>
      </c>
      <c r="J617" s="103">
        <f t="shared" si="109"/>
        <v>39.674999999999997</v>
      </c>
    </row>
    <row r="618" spans="5:25" ht="15.75" hidden="1" customHeight="1">
      <c r="G618" s="12" t="str">
        <f t="shared" si="107"/>
        <v xml:space="preserve"> Flat/Vaulted Ceilings U =</v>
      </c>
      <c r="H618" s="126">
        <f t="shared" si="110"/>
        <v>2.4E-2</v>
      </c>
      <c r="I618" s="122">
        <f t="shared" si="108"/>
        <v>1578</v>
      </c>
      <c r="J618" s="103">
        <f t="shared" si="109"/>
        <v>37.872</v>
      </c>
    </row>
    <row r="619" spans="5:25" ht="15.75" hidden="1" customHeight="1">
      <c r="G619" s="12" t="str">
        <f t="shared" si="107"/>
        <v xml:space="preserve"> Wall (above grade)  U =</v>
      </c>
      <c r="H619" s="126">
        <f t="shared" si="110"/>
        <v>5.6000000000000001E-2</v>
      </c>
      <c r="I619" s="122">
        <f t="shared" si="108"/>
        <v>2201.6800000000003</v>
      </c>
      <c r="J619" s="103">
        <f t="shared" si="109"/>
        <v>123.29408000000002</v>
      </c>
      <c r="U619" s="11">
        <f>1/20</f>
        <v>0.05</v>
      </c>
    </row>
    <row r="620" spans="5:25" ht="15.75" hidden="1" customHeight="1">
      <c r="G620" s="12" t="str">
        <f t="shared" si="107"/>
        <v>Floors over Crawlspace U =</v>
      </c>
      <c r="H620" s="126">
        <f t="shared" si="110"/>
        <v>2.9000000000000001E-2</v>
      </c>
      <c r="I620" s="122">
        <f t="shared" si="108"/>
        <v>1578</v>
      </c>
      <c r="J620" s="103">
        <f t="shared" si="109"/>
        <v>45.762</v>
      </c>
    </row>
    <row r="621" spans="5:25" ht="15.75" hidden="1" customHeight="1">
      <c r="G621" s="12" t="str">
        <f t="shared" si="107"/>
        <v>Slab on Grade F =</v>
      </c>
      <c r="H621" s="126">
        <f t="shared" si="110"/>
        <v>0.54</v>
      </c>
      <c r="I621" s="122">
        <f t="shared" si="108"/>
        <v>0</v>
      </c>
      <c r="J621" s="103">
        <f t="shared" si="109"/>
        <v>0</v>
      </c>
    </row>
    <row r="622" spans="5:25" ht="15.75" hidden="1" customHeight="1">
      <c r="G622" s="12" t="str">
        <f t="shared" si="107"/>
        <v xml:space="preserve"> Below Grade Wall U =</v>
      </c>
      <c r="H622" s="126" t="str">
        <f t="shared" si="110"/>
        <v>N/A</v>
      </c>
      <c r="I622" s="122">
        <f t="shared" si="108"/>
        <v>0</v>
      </c>
      <c r="J622" s="103" t="str">
        <f t="shared" si="109"/>
        <v/>
      </c>
    </row>
    <row r="623" spans="5:25" ht="15.75" hidden="1" customHeight="1">
      <c r="G623" s="12" t="str">
        <f t="shared" si="107"/>
        <v xml:space="preserve"> Below Grade Slab  F =</v>
      </c>
      <c r="H623" s="126" t="str">
        <f t="shared" si="110"/>
        <v>N/A</v>
      </c>
      <c r="I623" s="122">
        <f t="shared" si="108"/>
        <v>0</v>
      </c>
      <c r="J623" s="103" t="str">
        <f t="shared" si="109"/>
        <v/>
      </c>
    </row>
    <row r="624" spans="5:25" ht="15.75" hidden="1" customHeight="1">
      <c r="I624" s="96" t="s">
        <v>2068</v>
      </c>
      <c r="J624" s="11">
        <f>SUM(J615:J623)</f>
        <v>273.93641333333335</v>
      </c>
    </row>
    <row r="625" spans="3:42" ht="15.75" hidden="1" customHeight="1">
      <c r="O625" s="96"/>
    </row>
    <row r="626" spans="3:42" ht="15.75" hidden="1" customHeight="1">
      <c r="C626" s="478"/>
      <c r="D626" s="478"/>
      <c r="E626" s="480" t="s">
        <v>2389</v>
      </c>
      <c r="F626" s="478"/>
      <c r="G626" s="478"/>
      <c r="H626" s="478"/>
      <c r="I626" s="478"/>
      <c r="J626" s="478"/>
      <c r="K626" s="478"/>
      <c r="L626" s="478"/>
      <c r="M626" s="478"/>
      <c r="N626" s="478"/>
      <c r="O626" s="479"/>
      <c r="P626" s="478"/>
      <c r="Q626" s="478"/>
      <c r="R626" s="478"/>
      <c r="S626" s="478"/>
      <c r="T626" s="478"/>
      <c r="U626" s="478"/>
      <c r="V626" s="478"/>
      <c r="W626" s="478"/>
      <c r="X626" s="478"/>
      <c r="Y626" s="478"/>
      <c r="Z626" s="478"/>
      <c r="AA626" s="478"/>
      <c r="AB626" s="478"/>
      <c r="AC626" s="478"/>
      <c r="AD626" s="478"/>
      <c r="AE626" s="478"/>
      <c r="AF626" s="478"/>
      <c r="AG626" s="478"/>
    </row>
    <row r="627" spans="3:42" ht="15.75" hidden="1" customHeight="1">
      <c r="E627" s="40" t="s">
        <v>2390</v>
      </c>
      <c r="F627" s="11" t="str">
        <f>IF(Menu_UseOfCalculator=MenuItem_NonDwellingUnit,MenuItem_UFactorPath,Menu_UseOfCalculator)</f>
        <v>Total UA Alternative, Whole Building Trade Off Analysis</v>
      </c>
      <c r="L627" s="96"/>
      <c r="M627" s="96"/>
    </row>
    <row r="628" spans="3:42" ht="15.75" hidden="1" customHeight="1">
      <c r="E628" s="40" t="s">
        <v>2097</v>
      </c>
      <c r="F628" s="120" t="str">
        <f>VLOOKUP(F627,Table_UseOfCalculator,J325,FALSE)</f>
        <v>Code Baseline</v>
      </c>
      <c r="G628" s="120"/>
      <c r="H628" s="96"/>
      <c r="I628" s="96"/>
    </row>
    <row r="629" spans="3:42" ht="15.75" hidden="1" customHeight="1">
      <c r="E629" s="117"/>
      <c r="F629" s="116" t="s">
        <v>2101</v>
      </c>
      <c r="G629" s="116"/>
      <c r="H629" s="116"/>
      <c r="I629" s="116"/>
      <c r="J629" s="116"/>
      <c r="K629" s="116"/>
      <c r="L629" s="116"/>
      <c r="M629" s="116"/>
      <c r="N629" s="116"/>
      <c r="O629" s="116"/>
      <c r="P629" s="116"/>
      <c r="Q629" s="116"/>
      <c r="R629" s="116"/>
      <c r="S629" s="116"/>
      <c r="T629" s="116"/>
      <c r="U629" s="116"/>
      <c r="X629" s="96"/>
      <c r="Y629" s="116" t="s">
        <v>2102</v>
      </c>
      <c r="Z629" s="116"/>
      <c r="AA629" s="116"/>
      <c r="AB629" s="116"/>
      <c r="AC629" s="116"/>
    </row>
    <row r="630" spans="3:42" ht="15.75" hidden="1" customHeight="1">
      <c r="F630" s="37">
        <v>1</v>
      </c>
      <c r="G630" s="37">
        <f t="shared" ref="G630:L630" si="111">F630+1</f>
        <v>2</v>
      </c>
      <c r="H630" s="37">
        <f t="shared" ref="H630" si="112">G630+1</f>
        <v>3</v>
      </c>
      <c r="I630" s="37">
        <f t="shared" ref="I630" si="113">H630+1</f>
        <v>4</v>
      </c>
      <c r="J630" s="37">
        <f t="shared" ref="J630" si="114">I630+1</f>
        <v>5</v>
      </c>
      <c r="K630" s="37">
        <f t="shared" ref="K630" si="115">J630+1</f>
        <v>6</v>
      </c>
      <c r="L630" s="37">
        <f t="shared" si="111"/>
        <v>7</v>
      </c>
      <c r="M630" s="37"/>
      <c r="N630" s="37">
        <f>L630+1</f>
        <v>8</v>
      </c>
      <c r="O630" s="37">
        <f t="shared" ref="O630" si="116">N630+1</f>
        <v>9</v>
      </c>
      <c r="P630" s="37">
        <f t="shared" ref="P630" si="117">O630+1</f>
        <v>10</v>
      </c>
      <c r="Q630" s="37">
        <f t="shared" ref="Q630" si="118">P630+1</f>
        <v>11</v>
      </c>
      <c r="R630" s="37">
        <f t="shared" ref="R630" si="119">Q630+1</f>
        <v>12</v>
      </c>
      <c r="S630" s="37">
        <f t="shared" ref="S630" si="120">R630+1</f>
        <v>13</v>
      </c>
      <c r="T630" s="37">
        <f t="shared" ref="T630" si="121">S630+1</f>
        <v>14</v>
      </c>
      <c r="U630" s="37"/>
      <c r="V630" s="37">
        <f>N630+1</f>
        <v>9</v>
      </c>
      <c r="Z630" s="37">
        <v>1</v>
      </c>
      <c r="AA630" s="37">
        <v>3</v>
      </c>
      <c r="AB630" s="37">
        <v>4</v>
      </c>
      <c r="AC630" s="37">
        <v>5</v>
      </c>
      <c r="AD630" s="37">
        <v>6</v>
      </c>
      <c r="AH630" s="96"/>
      <c r="AJ630" s="96"/>
      <c r="AP630" s="96"/>
    </row>
    <row r="631" spans="3:42" ht="15.75" hidden="1" customHeight="1">
      <c r="F631" s="37"/>
      <c r="G631" s="37"/>
      <c r="H631" s="37"/>
      <c r="I631" s="37"/>
      <c r="J631" s="37"/>
      <c r="K631" s="37"/>
      <c r="L631" s="37"/>
      <c r="M631" s="37"/>
      <c r="N631" s="37"/>
      <c r="O631" s="37"/>
      <c r="P631" s="37"/>
      <c r="Q631" s="37"/>
      <c r="R631" s="37"/>
      <c r="S631" s="37"/>
      <c r="T631" s="37"/>
      <c r="U631" s="37"/>
      <c r="Y631" s="37"/>
      <c r="Z631" s="37"/>
      <c r="AA631" s="37"/>
      <c r="AB631" s="37"/>
      <c r="AC631" s="37"/>
      <c r="AG631" s="96"/>
      <c r="AI631" s="96"/>
      <c r="AL631" s="96"/>
      <c r="AO631" s="96"/>
    </row>
    <row r="632" spans="3:42" ht="15.75" hidden="1" customHeight="1" thickBot="1">
      <c r="F632" s="37"/>
      <c r="I632" s="841" t="s">
        <v>2861</v>
      </c>
      <c r="X632" s="37"/>
      <c r="Y632" s="37"/>
      <c r="Z632" s="37"/>
      <c r="AA632" s="37"/>
      <c r="AB632" s="37"/>
      <c r="AF632" s="96"/>
      <c r="AH632" s="96"/>
      <c r="AK632" s="96"/>
      <c r="AN632" s="96"/>
    </row>
    <row r="633" spans="3:42" ht="15.75" hidden="1" customHeight="1" thickBot="1">
      <c r="F633" s="37"/>
      <c r="H633" s="980" t="s">
        <v>2851</v>
      </c>
      <c r="I633" s="837"/>
      <c r="J633" s="837"/>
      <c r="K633" s="837"/>
      <c r="L633" s="838"/>
      <c r="M633" s="981" t="s">
        <v>2233</v>
      </c>
      <c r="N633" s="834"/>
      <c r="O633" s="835"/>
      <c r="P633" s="835"/>
      <c r="Q633" s="835"/>
      <c r="R633" s="835"/>
      <c r="S633" s="835"/>
      <c r="T633" s="836"/>
      <c r="AF633" s="96"/>
      <c r="AH633" s="96"/>
      <c r="AK633" s="96"/>
      <c r="AN633" s="96"/>
    </row>
    <row r="634" spans="3:42" ht="48" hidden="1" customHeight="1">
      <c r="D634" s="242" t="s">
        <v>2258</v>
      </c>
      <c r="F634" s="169" t="s">
        <v>2391</v>
      </c>
      <c r="G634" s="169" t="s">
        <v>2176</v>
      </c>
      <c r="H634" s="833"/>
      <c r="I634" s="833" t="s">
        <v>2252</v>
      </c>
      <c r="J634" s="833" t="s">
        <v>2253</v>
      </c>
      <c r="K634" s="833" t="s">
        <v>2254</v>
      </c>
      <c r="L634" s="833" t="s">
        <v>2255</v>
      </c>
      <c r="M634" s="833"/>
      <c r="N634" s="833" t="s">
        <v>2252</v>
      </c>
      <c r="O634" s="833" t="s">
        <v>2253</v>
      </c>
      <c r="P634" s="833" t="s">
        <v>2254</v>
      </c>
      <c r="Q634" s="833" t="s">
        <v>2255</v>
      </c>
      <c r="R634" s="833" t="s">
        <v>2256</v>
      </c>
      <c r="S634" s="833" t="s">
        <v>2094</v>
      </c>
      <c r="T634" s="833" t="s">
        <v>2135</v>
      </c>
      <c r="AN634" s="96"/>
    </row>
    <row r="635" spans="3:42" ht="20.25" hidden="1" customHeight="1">
      <c r="D635" s="242">
        <f t="shared" ref="D635:D643" si="122">F29</f>
        <v>0.3</v>
      </c>
      <c r="E635" s="12" t="s">
        <v>1367</v>
      </c>
      <c r="F635" s="832">
        <f t="shared" ref="F635:F643" si="123">IF(Menu_CodeVersion=$K$399,H635,M635)</f>
        <v>0.3</v>
      </c>
      <c r="G635" s="832">
        <f>IFERROR(AC84/AB84,0)</f>
        <v>0.3</v>
      </c>
      <c r="H635" s="1009">
        <v>0.3</v>
      </c>
      <c r="I635" s="384">
        <f t="shared" ref="I635:M635" si="124">I637</f>
        <v>0.22</v>
      </c>
      <c r="J635" s="384">
        <f t="shared" si="124"/>
        <v>0.25</v>
      </c>
      <c r="K635" s="468">
        <f t="shared" si="124"/>
        <v>0.18</v>
      </c>
      <c r="L635" s="468">
        <f t="shared" si="124"/>
        <v>0.18</v>
      </c>
      <c r="M635" s="1009">
        <f t="shared" si="124"/>
        <v>0.3</v>
      </c>
      <c r="N635" s="384">
        <f>N637</f>
        <v>0.24</v>
      </c>
      <c r="O635" s="384">
        <f t="shared" ref="O635:T635" si="125">O637</f>
        <v>0.2</v>
      </c>
      <c r="P635" s="469">
        <f t="shared" si="125"/>
        <v>0.22</v>
      </c>
      <c r="Q635" s="469">
        <f t="shared" si="125"/>
        <v>0.25</v>
      </c>
      <c r="R635" s="469">
        <f t="shared" si="125"/>
        <v>0.18</v>
      </c>
      <c r="S635" s="175">
        <f t="shared" si="125"/>
        <v>0.18</v>
      </c>
      <c r="T635" s="175">
        <f t="shared" si="125"/>
        <v>0.28000000000000003</v>
      </c>
      <c r="U635" s="119">
        <v>2</v>
      </c>
    </row>
    <row r="636" spans="3:42" ht="57.75" hidden="1" customHeight="1">
      <c r="D636" s="242">
        <f t="shared" si="122"/>
        <v>0.5</v>
      </c>
      <c r="E636" s="12" t="s">
        <v>451</v>
      </c>
      <c r="F636" s="832">
        <f t="shared" si="123"/>
        <v>0.5</v>
      </c>
      <c r="G636" s="832">
        <f>IFERROR(AC96/AB96,0)</f>
        <v>0</v>
      </c>
      <c r="H636" s="1009">
        <v>0.5</v>
      </c>
      <c r="I636" s="468">
        <v>0.5</v>
      </c>
      <c r="J636" s="468">
        <v>0.5</v>
      </c>
      <c r="K636" s="468">
        <f>F636</f>
        <v>0.5</v>
      </c>
      <c r="L636" s="468">
        <f>F636</f>
        <v>0.5</v>
      </c>
      <c r="M636" s="1009">
        <v>0.5</v>
      </c>
      <c r="N636" s="469">
        <f>F636</f>
        <v>0.5</v>
      </c>
      <c r="O636" s="385">
        <f>F636</f>
        <v>0.5</v>
      </c>
      <c r="P636" s="469">
        <f t="shared" ref="P636:R641" si="126">I636</f>
        <v>0.5</v>
      </c>
      <c r="Q636" s="469">
        <f t="shared" si="126"/>
        <v>0.5</v>
      </c>
      <c r="R636" s="469">
        <f t="shared" si="126"/>
        <v>0.5</v>
      </c>
      <c r="S636" s="175">
        <f>I636</f>
        <v>0.5</v>
      </c>
      <c r="T636" s="175">
        <f>J636</f>
        <v>0.5</v>
      </c>
      <c r="U636" s="119">
        <v>3</v>
      </c>
    </row>
    <row r="637" spans="3:42" ht="15.75" hidden="1" customHeight="1">
      <c r="D637" s="242">
        <f t="shared" si="122"/>
        <v>0.3</v>
      </c>
      <c r="E637" s="12" t="s">
        <v>1366</v>
      </c>
      <c r="F637" s="832">
        <f t="shared" si="123"/>
        <v>0.3</v>
      </c>
      <c r="G637" s="832">
        <f>AC165</f>
        <v>0.3</v>
      </c>
      <c r="H637" s="1009">
        <v>0.3</v>
      </c>
      <c r="I637" s="384">
        <v>0.22</v>
      </c>
      <c r="J637" s="384">
        <v>0.25</v>
      </c>
      <c r="K637" s="384">
        <v>0.18</v>
      </c>
      <c r="L637" s="384">
        <v>0.18</v>
      </c>
      <c r="M637" s="1009">
        <v>0.3</v>
      </c>
      <c r="N637" s="384">
        <v>0.24</v>
      </c>
      <c r="O637" s="384">
        <v>0.2</v>
      </c>
      <c r="P637" s="469">
        <f t="shared" si="126"/>
        <v>0.22</v>
      </c>
      <c r="Q637" s="469">
        <f t="shared" si="126"/>
        <v>0.25</v>
      </c>
      <c r="R637" s="469">
        <f t="shared" si="126"/>
        <v>0.18</v>
      </c>
      <c r="S637" s="176">
        <v>0.18</v>
      </c>
      <c r="T637" s="176">
        <v>0.28000000000000003</v>
      </c>
      <c r="U637" s="119">
        <v>4</v>
      </c>
    </row>
    <row r="638" spans="3:42" ht="28.5" hidden="1" customHeight="1">
      <c r="D638" s="242">
        <f t="shared" si="122"/>
        <v>2.4E-2</v>
      </c>
      <c r="E638" s="12" t="s">
        <v>2095</v>
      </c>
      <c r="F638" s="832">
        <f t="shared" si="123"/>
        <v>2.4E-2</v>
      </c>
      <c r="G638" s="832">
        <f>IFERROR(AC176/AB176,0)</f>
        <v>0.02</v>
      </c>
      <c r="H638" s="1009">
        <v>2.4E-2</v>
      </c>
      <c r="I638" s="839">
        <v>2.4E-2</v>
      </c>
      <c r="J638" s="839">
        <v>2.4E-2</v>
      </c>
      <c r="K638" s="384">
        <v>0.17</v>
      </c>
      <c r="L638" s="384">
        <v>0.17</v>
      </c>
      <c r="M638" s="1009">
        <v>2.5999999999999999E-2</v>
      </c>
      <c r="N638" s="469">
        <f t="shared" ref="N638:N643" si="127">F638</f>
        <v>2.4E-2</v>
      </c>
      <c r="O638" s="385">
        <f t="shared" ref="O638:O643" si="128">F638</f>
        <v>2.4E-2</v>
      </c>
      <c r="P638" s="469">
        <f t="shared" si="126"/>
        <v>2.4E-2</v>
      </c>
      <c r="Q638" s="469">
        <f t="shared" si="126"/>
        <v>2.4E-2</v>
      </c>
      <c r="R638" s="469">
        <f t="shared" si="126"/>
        <v>0.17</v>
      </c>
      <c r="S638" s="176">
        <v>1.7000000000000001E-2</v>
      </c>
      <c r="T638" s="176">
        <v>0.02</v>
      </c>
      <c r="U638" s="119">
        <v>5</v>
      </c>
    </row>
    <row r="639" spans="3:42" ht="15.75" hidden="1" customHeight="1">
      <c r="D639" s="242">
        <f t="shared" si="122"/>
        <v>5.6000000000000001E-2</v>
      </c>
      <c r="E639" s="12" t="s">
        <v>1368</v>
      </c>
      <c r="F639" s="832">
        <f t="shared" si="123"/>
        <v>5.6000000000000001E-2</v>
      </c>
      <c r="G639" s="832">
        <f>IFERROR(AC191/AB191,0)</f>
        <v>5.6000000000000001E-2</v>
      </c>
      <c r="H639" s="1009">
        <v>5.6000000000000001E-2</v>
      </c>
      <c r="I639" s="839">
        <v>4.4999999999999998E-2</v>
      </c>
      <c r="J639" s="839">
        <v>4.4999999999999998E-2</v>
      </c>
      <c r="K639" s="384">
        <v>3.2000000000000001E-2</v>
      </c>
      <c r="L639" s="384">
        <v>0.28000000000000003</v>
      </c>
      <c r="M639" s="1009">
        <v>5.6000000000000001E-2</v>
      </c>
      <c r="N639" s="469">
        <f t="shared" si="127"/>
        <v>5.6000000000000001E-2</v>
      </c>
      <c r="O639" s="385">
        <f t="shared" si="128"/>
        <v>5.6000000000000001E-2</v>
      </c>
      <c r="P639" s="469">
        <f t="shared" si="126"/>
        <v>4.4999999999999998E-2</v>
      </c>
      <c r="Q639" s="469">
        <f t="shared" si="126"/>
        <v>4.4999999999999998E-2</v>
      </c>
      <c r="R639" s="469">
        <f t="shared" si="126"/>
        <v>3.2000000000000001E-2</v>
      </c>
      <c r="S639" s="176">
        <v>2.8000000000000001E-2</v>
      </c>
      <c r="T639" s="175">
        <f>J639</f>
        <v>4.4999999999999998E-2</v>
      </c>
      <c r="U639" s="119">
        <v>6</v>
      </c>
    </row>
    <row r="640" spans="3:42" ht="15.75" hidden="1" customHeight="1">
      <c r="D640" s="242">
        <f t="shared" si="122"/>
        <v>2.9000000000000001E-2</v>
      </c>
      <c r="E640" s="12" t="s">
        <v>1369</v>
      </c>
      <c r="F640" s="832">
        <f t="shared" si="123"/>
        <v>2.9000000000000001E-2</v>
      </c>
      <c r="G640" s="832">
        <f>IFERROR(AC203/AB203,0)</f>
        <v>0</v>
      </c>
      <c r="H640" s="1009">
        <v>2.9000000000000001E-2</v>
      </c>
      <c r="I640" s="839">
        <v>2.9000000000000001E-2</v>
      </c>
      <c r="J640" s="384">
        <v>2.5000000000000001E-2</v>
      </c>
      <c r="K640" s="384">
        <v>2.5000000000000001E-2</v>
      </c>
      <c r="L640" s="384">
        <v>0.02</v>
      </c>
      <c r="M640" s="1009">
        <v>2.9000000000000001E-2</v>
      </c>
      <c r="N640" s="469">
        <f t="shared" si="127"/>
        <v>2.9000000000000001E-2</v>
      </c>
      <c r="O640" s="385">
        <f t="shared" si="128"/>
        <v>2.9000000000000001E-2</v>
      </c>
      <c r="P640" s="469">
        <f t="shared" si="126"/>
        <v>2.9000000000000001E-2</v>
      </c>
      <c r="Q640" s="469">
        <f t="shared" si="126"/>
        <v>2.5000000000000001E-2</v>
      </c>
      <c r="R640" s="469">
        <f t="shared" si="126"/>
        <v>2.5000000000000001E-2</v>
      </c>
      <c r="S640" s="176">
        <v>0.02</v>
      </c>
      <c r="T640" s="175">
        <f>J640</f>
        <v>2.5000000000000001E-2</v>
      </c>
      <c r="U640" s="119">
        <v>7</v>
      </c>
    </row>
    <row r="641" spans="4:37" ht="15.75" hidden="1" customHeight="1">
      <c r="D641" s="242">
        <f t="shared" si="122"/>
        <v>0.54</v>
      </c>
      <c r="E641" s="12" t="s">
        <v>1399</v>
      </c>
      <c r="F641" s="832">
        <f t="shared" si="123"/>
        <v>0.54</v>
      </c>
      <c r="G641" s="832">
        <f>IFERROR(AC214/AB214,0)</f>
        <v>0.54</v>
      </c>
      <c r="H641" s="1009">
        <v>0.54</v>
      </c>
      <c r="I641" s="839">
        <v>0.54</v>
      </c>
      <c r="J641" s="384">
        <v>0.36</v>
      </c>
      <c r="K641" s="384">
        <v>0.36</v>
      </c>
      <c r="L641" s="384">
        <v>0.26100000000000001</v>
      </c>
      <c r="M641" s="1009">
        <v>0.54</v>
      </c>
      <c r="N641" s="469">
        <f t="shared" si="127"/>
        <v>0.54</v>
      </c>
      <c r="O641" s="385">
        <f t="shared" si="128"/>
        <v>0.54</v>
      </c>
      <c r="P641" s="469">
        <f t="shared" si="126"/>
        <v>0.54</v>
      </c>
      <c r="Q641" s="469">
        <f t="shared" si="126"/>
        <v>0.36</v>
      </c>
      <c r="R641" s="469">
        <f t="shared" si="126"/>
        <v>0.36</v>
      </c>
      <c r="S641" s="177">
        <v>0.26100000000000001</v>
      </c>
      <c r="T641" s="175">
        <f>J641</f>
        <v>0.36</v>
      </c>
      <c r="U641" s="119">
        <v>8</v>
      </c>
    </row>
    <row r="642" spans="4:37" ht="15.75" hidden="1" customHeight="1">
      <c r="D642" s="242" t="str">
        <f t="shared" si="122"/>
        <v>N/A</v>
      </c>
      <c r="E642" s="12" t="s">
        <v>1918</v>
      </c>
      <c r="F642" s="832" t="str">
        <f t="shared" si="123"/>
        <v>N/A</v>
      </c>
      <c r="G642" s="832">
        <f>IFERROR(Y225/X225,0)</f>
        <v>0</v>
      </c>
      <c r="H642" s="926" t="str">
        <f>$M$938</f>
        <v>N/A</v>
      </c>
      <c r="I642" s="839">
        <v>4.2000000000000003E-2</v>
      </c>
      <c r="J642" s="384">
        <v>5.5E-2</v>
      </c>
      <c r="K642" s="384">
        <v>5.5E-2</v>
      </c>
      <c r="L642" s="384">
        <v>3.4000000000000002E-2</v>
      </c>
      <c r="M642" s="926" t="str">
        <f>$M$938</f>
        <v>N/A</v>
      </c>
      <c r="N642" s="469" t="str">
        <f t="shared" si="127"/>
        <v>N/A</v>
      </c>
      <c r="O642" s="385" t="str">
        <f t="shared" si="128"/>
        <v>N/A</v>
      </c>
      <c r="P642" s="469">
        <f>I642</f>
        <v>4.2000000000000003E-2</v>
      </c>
      <c r="Q642" s="384">
        <v>5.5E-2</v>
      </c>
      <c r="R642" s="384">
        <v>5.5E-2</v>
      </c>
      <c r="S642" s="840">
        <v>3.4000000000000002E-2</v>
      </c>
      <c r="T642" s="175">
        <f>J642</f>
        <v>5.5E-2</v>
      </c>
      <c r="U642" s="119">
        <v>9</v>
      </c>
      <c r="AF642" s="943" t="s">
        <v>2965</v>
      </c>
    </row>
    <row r="643" spans="4:37" ht="15.75" hidden="1" customHeight="1">
      <c r="D643" s="242" t="str">
        <f t="shared" si="122"/>
        <v>N/A</v>
      </c>
      <c r="E643" s="12" t="s">
        <v>1919</v>
      </c>
      <c r="F643" s="832" t="str">
        <f t="shared" si="123"/>
        <v>N/A</v>
      </c>
      <c r="G643" s="832">
        <f>IFERROR(AC225/AB225,0)</f>
        <v>0</v>
      </c>
      <c r="H643" s="926" t="str">
        <f>$N$938</f>
        <v>N/A</v>
      </c>
      <c r="I643" s="839">
        <v>0.59</v>
      </c>
      <c r="J643" s="384">
        <v>0.29299999999999998</v>
      </c>
      <c r="K643" s="384">
        <v>0.29299999999999998</v>
      </c>
      <c r="L643" s="384">
        <v>0.30399999999999999</v>
      </c>
      <c r="M643" s="926" t="str">
        <f>$N$938</f>
        <v>N/A</v>
      </c>
      <c r="N643" s="469" t="str">
        <f t="shared" si="127"/>
        <v>N/A</v>
      </c>
      <c r="O643" s="385" t="str">
        <f t="shared" si="128"/>
        <v>N/A</v>
      </c>
      <c r="P643" s="469">
        <f>I643</f>
        <v>0.59</v>
      </c>
      <c r="Q643" s="384">
        <v>0.29299999999999998</v>
      </c>
      <c r="R643" s="384">
        <v>0.29299999999999998</v>
      </c>
      <c r="S643" s="840">
        <v>0.30399999999999999</v>
      </c>
      <c r="T643" s="175">
        <f>J643</f>
        <v>0.29299999999999998</v>
      </c>
      <c r="U643" s="119">
        <v>10</v>
      </c>
      <c r="AF643" s="943" t="s">
        <v>2965</v>
      </c>
    </row>
    <row r="644" spans="4:37" ht="15.75" hidden="1" customHeight="1">
      <c r="I644" s="96" t="s">
        <v>2136</v>
      </c>
      <c r="N644" s="96"/>
      <c r="O644" s="96"/>
      <c r="P644" s="96"/>
      <c r="Q644" s="96"/>
      <c r="R644" s="96"/>
      <c r="S644" s="96"/>
    </row>
    <row r="645" spans="4:37" ht="15.75" hidden="1" customHeight="1"/>
    <row r="646" spans="4:37" ht="15.75" hidden="1" customHeight="1"/>
    <row r="647" spans="4:37" ht="15.75" hidden="1" customHeight="1">
      <c r="E647" s="125"/>
      <c r="F647" s="125"/>
      <c r="G647" s="125"/>
      <c r="H647" s="125" t="s">
        <v>2174</v>
      </c>
      <c r="I647" s="125"/>
      <c r="J647" s="125"/>
      <c r="K647" s="125"/>
      <c r="L647" s="125"/>
      <c r="M647" s="125"/>
      <c r="N647" s="125"/>
      <c r="O647" s="125"/>
      <c r="P647" s="125"/>
      <c r="Q647" s="125"/>
      <c r="R647" s="125"/>
      <c r="S647" s="125"/>
      <c r="T647" s="125"/>
      <c r="U647" s="125"/>
      <c r="V647" s="125"/>
      <c r="W647" s="125"/>
      <c r="X647" s="125"/>
      <c r="Y647" s="125"/>
      <c r="Z647" s="125"/>
    </row>
    <row r="648" spans="4:37" ht="15.75" hidden="1" customHeight="1">
      <c r="G648" s="97" t="str">
        <f>E328</f>
        <v>U-Factor Compliance Path</v>
      </c>
    </row>
    <row r="649" spans="4:37" ht="42.75" hidden="1" customHeight="1">
      <c r="G649" s="124" t="s">
        <v>2391</v>
      </c>
      <c r="H649" s="124" t="s">
        <v>2391</v>
      </c>
      <c r="I649" s="124" t="s">
        <v>2176</v>
      </c>
      <c r="J649" s="124" t="s">
        <v>2096</v>
      </c>
      <c r="M649" s="181" t="s">
        <v>2175</v>
      </c>
    </row>
    <row r="650" spans="4:37" ht="111.75" hidden="1" customHeight="1">
      <c r="G650" s="124" t="str">
        <f>E328</f>
        <v>U-Factor Compliance Path</v>
      </c>
      <c r="H650" s="124" t="str">
        <f>MenuItem_NonDwellingUnit</f>
        <v>Non-Dwelling Unit (Total UA)</v>
      </c>
      <c r="I650" s="124" t="str">
        <f>E330</f>
        <v>User-Defined Baseline (Addition/Remodel/Alteration of Existing)</v>
      </c>
      <c r="J650" s="124" t="s">
        <v>2407</v>
      </c>
      <c r="M650" s="181" t="str">
        <f>Menu_UseOfCalculator</f>
        <v>Total UA Alternative, Whole Building Trade Off Analysis</v>
      </c>
    </row>
    <row r="651" spans="4:37" ht="41.25" hidden="1" customHeight="1">
      <c r="G651" s="104" t="s">
        <v>1343</v>
      </c>
      <c r="H651" s="104" t="str">
        <f>G651</f>
        <v>Area</v>
      </c>
      <c r="I651" s="104" t="s">
        <v>1343</v>
      </c>
      <c r="J651" s="104" t="s">
        <v>1343</v>
      </c>
      <c r="M651" s="167" t="s">
        <v>1343</v>
      </c>
    </row>
    <row r="652" spans="4:37" ht="41.25" hidden="1" customHeight="1">
      <c r="F652" s="12" t="s">
        <v>1367</v>
      </c>
      <c r="G652" s="118">
        <f>IF(M$29="","Error",M$29)</f>
        <v>91.1111111111111</v>
      </c>
      <c r="H652" s="118">
        <f>IF(M$29="","Error",M$29)</f>
        <v>91.1111111111111</v>
      </c>
      <c r="I652" s="118">
        <f>AB84</f>
        <v>20</v>
      </c>
      <c r="J652" s="118">
        <f>M29</f>
        <v>91.1111111111111</v>
      </c>
      <c r="K652" s="119">
        <v>3</v>
      </c>
      <c r="M652" s="168">
        <f>HLOOKUP(Menu_UseOfCalculator,Table_Areas,K652,FALSE)</f>
        <v>91.1111111111111</v>
      </c>
      <c r="AK652" s="96"/>
    </row>
    <row r="653" spans="4:37" ht="15.75" hidden="1" customHeight="1">
      <c r="F653" s="12" t="s">
        <v>451</v>
      </c>
      <c r="G653" s="118">
        <f>IF(M$30="","Error",IF(M$30&lt;(H$65*0.15),M$30,H$65*0.15))</f>
        <v>0</v>
      </c>
      <c r="H653" s="118">
        <f t="shared" ref="H653:H660" si="129">G653</f>
        <v>0</v>
      </c>
      <c r="I653" s="118">
        <f>AB96</f>
        <v>0</v>
      </c>
      <c r="J653" s="118">
        <f>M30</f>
        <v>0</v>
      </c>
      <c r="K653" s="119">
        <f>K652+1</f>
        <v>4</v>
      </c>
      <c r="M653" s="168">
        <f t="shared" ref="M653:M660" si="130">HLOOKUP(Menu_UseOfCalculator,Table_Areas,K653,FALSE)</f>
        <v>0</v>
      </c>
    </row>
    <row r="654" spans="4:37" ht="15.75" hidden="1" customHeight="1">
      <c r="F654" s="12" t="s">
        <v>1366</v>
      </c>
      <c r="G654" s="118">
        <f>IF(M$31="","Error",IF(F376="No",M164,IF(SUM(M$31,M$30)&gt;H$65*0.15,H$65*0.15-G$653,M$31)))</f>
        <v>132.25</v>
      </c>
      <c r="H654" s="118">
        <f t="shared" si="129"/>
        <v>132.25</v>
      </c>
      <c r="I654" s="118">
        <f>AB164</f>
        <v>160</v>
      </c>
      <c r="J654" s="1071">
        <f>IF(M$31="","Error",IF(F376="No",M164,IF(SUM(M$31,M$30)&gt;H$65*0.15,H$65*0.15-G$653,M$31)))</f>
        <v>132.25</v>
      </c>
      <c r="K654" s="119">
        <f t="shared" ref="K654:K660" si="131">K653+1</f>
        <v>5</v>
      </c>
      <c r="M654" s="168">
        <f>HLOOKUP(Menu_UseOfCalculator,Table_Areas,K654,FALSE)</f>
        <v>132.25</v>
      </c>
      <c r="N654" s="1026" t="s">
        <v>3100</v>
      </c>
    </row>
    <row r="655" spans="4:37" ht="15.75" hidden="1" customHeight="1">
      <c r="F655" s="12" t="s">
        <v>2095</v>
      </c>
      <c r="G655" s="118">
        <f>IFERROR((M$32+M$30)-G$653,"Error")</f>
        <v>1578</v>
      </c>
      <c r="H655" s="118">
        <f t="shared" si="129"/>
        <v>1578</v>
      </c>
      <c r="I655" s="118">
        <f>AB176</f>
        <v>491</v>
      </c>
      <c r="J655" s="118">
        <f>M32</f>
        <v>1578</v>
      </c>
      <c r="K655" s="119">
        <f t="shared" si="131"/>
        <v>6</v>
      </c>
      <c r="M655" s="168">
        <f t="shared" si="130"/>
        <v>1578</v>
      </c>
    </row>
    <row r="656" spans="4:37" ht="15.75" hidden="1" customHeight="1">
      <c r="F656" s="12" t="s">
        <v>1368</v>
      </c>
      <c r="G656" s="118">
        <f>IFERROR((M33+M29+M31)-(G654+G652),"Error")</f>
        <v>2201.6800000000003</v>
      </c>
      <c r="H656" s="118">
        <f t="shared" si="129"/>
        <v>2201.6800000000003</v>
      </c>
      <c r="I656" s="118">
        <f>AB191</f>
        <v>1134</v>
      </c>
      <c r="J656" s="118">
        <f>IFERROR((M33+M29+M31)-(G654+G652),"Error")</f>
        <v>2201.6800000000003</v>
      </c>
      <c r="K656" s="119">
        <f t="shared" si="131"/>
        <v>7</v>
      </c>
      <c r="M656" s="168">
        <f t="shared" si="130"/>
        <v>2201.6800000000003</v>
      </c>
    </row>
    <row r="657" spans="3:27" ht="15.75" hidden="1" customHeight="1">
      <c r="F657" s="12" t="s">
        <v>1369</v>
      </c>
      <c r="G657" s="118">
        <f>IF(M34="","Error",M34)</f>
        <v>1578</v>
      </c>
      <c r="H657" s="118">
        <f t="shared" si="129"/>
        <v>1578</v>
      </c>
      <c r="I657" s="118">
        <f>AB203</f>
        <v>0</v>
      </c>
      <c r="J657" s="118">
        <f>M34</f>
        <v>1578</v>
      </c>
      <c r="K657" s="119">
        <f t="shared" si="131"/>
        <v>8</v>
      </c>
      <c r="M657" s="168">
        <f t="shared" si="130"/>
        <v>1578</v>
      </c>
    </row>
    <row r="658" spans="3:27" ht="15.75" hidden="1" customHeight="1">
      <c r="F658" s="12" t="s">
        <v>1399</v>
      </c>
      <c r="G658" s="118">
        <f>IF(M35="","Error",M35)</f>
        <v>0</v>
      </c>
      <c r="H658" s="118">
        <f t="shared" si="129"/>
        <v>0</v>
      </c>
      <c r="I658" s="118">
        <f>AB214</f>
        <v>139</v>
      </c>
      <c r="J658" s="118">
        <f>M35</f>
        <v>0</v>
      </c>
      <c r="K658" s="119">
        <f t="shared" si="131"/>
        <v>9</v>
      </c>
      <c r="M658" s="168">
        <f t="shared" si="130"/>
        <v>0</v>
      </c>
    </row>
    <row r="659" spans="3:27" ht="15.75" hidden="1" customHeight="1">
      <c r="F659" s="12" t="s">
        <v>1918</v>
      </c>
      <c r="G659" s="118">
        <f>IF(M36="","Error",M36)</f>
        <v>0</v>
      </c>
      <c r="H659" s="118">
        <f t="shared" si="129"/>
        <v>0</v>
      </c>
      <c r="I659" s="118">
        <f>X225</f>
        <v>0</v>
      </c>
      <c r="J659" s="118">
        <f>M36</f>
        <v>0</v>
      </c>
      <c r="K659" s="119">
        <f t="shared" si="131"/>
        <v>10</v>
      </c>
      <c r="M659" s="168">
        <f t="shared" si="130"/>
        <v>0</v>
      </c>
    </row>
    <row r="660" spans="3:27" ht="15.75" hidden="1" customHeight="1">
      <c r="F660" s="12" t="s">
        <v>1919</v>
      </c>
      <c r="G660" s="118">
        <f>IF(M37="","Error",M37)</f>
        <v>0</v>
      </c>
      <c r="H660" s="118">
        <f t="shared" si="129"/>
        <v>0</v>
      </c>
      <c r="I660" s="118">
        <f>AB225</f>
        <v>0</v>
      </c>
      <c r="J660" s="118">
        <f>M37</f>
        <v>0</v>
      </c>
      <c r="K660" s="119">
        <f t="shared" si="131"/>
        <v>11</v>
      </c>
      <c r="M660" s="168">
        <f t="shared" si="130"/>
        <v>0</v>
      </c>
    </row>
    <row r="661" spans="3:27" ht="15.75" hidden="1" customHeight="1"/>
    <row r="662" spans="3:27" ht="15.75" hidden="1" customHeight="1">
      <c r="E662" s="125" t="s">
        <v>2187</v>
      </c>
      <c r="F662" s="125"/>
      <c r="G662" s="125"/>
      <c r="H662" s="125"/>
      <c r="I662" s="125"/>
      <c r="J662" s="125"/>
      <c r="K662" s="125"/>
      <c r="L662" s="125"/>
      <c r="M662" s="125"/>
      <c r="N662" s="125"/>
      <c r="O662" s="125"/>
      <c r="P662" s="125"/>
      <c r="Q662" s="125"/>
      <c r="R662" s="125"/>
      <c r="S662" s="125"/>
      <c r="T662" s="125"/>
      <c r="U662" s="125"/>
      <c r="V662" s="125"/>
      <c r="W662" s="125"/>
      <c r="X662" s="125"/>
      <c r="Y662" s="125"/>
      <c r="Z662" s="125"/>
    </row>
    <row r="663" spans="3:27" ht="15.75" hidden="1" customHeight="1">
      <c r="C663" s="182"/>
      <c r="D663" s="182"/>
      <c r="E663" s="185" t="s">
        <v>2188</v>
      </c>
      <c r="F663" s="186">
        <f>IFERROR(IF(OR(F278="",F278=0),F277*8.5,F278),F277*8.5)</f>
        <v>17850</v>
      </c>
      <c r="G663" s="131" t="s">
        <v>2190</v>
      </c>
      <c r="H663" s="183"/>
      <c r="I663" s="183"/>
      <c r="J663" s="183"/>
      <c r="K663" s="183"/>
      <c r="L663" s="183"/>
      <c r="M663" s="183"/>
      <c r="N663" s="183"/>
      <c r="O663" s="183"/>
      <c r="P663" s="183"/>
      <c r="Q663" s="183"/>
      <c r="R663" s="183"/>
      <c r="S663" s="183"/>
      <c r="T663" s="183"/>
      <c r="U663" s="183"/>
      <c r="V663" s="183"/>
      <c r="W663" s="183"/>
      <c r="X663" s="183"/>
      <c r="Y663" s="183"/>
      <c r="Z663" s="183"/>
      <c r="AA663" s="182"/>
    </row>
    <row r="664" spans="3:27" ht="15.75" hidden="1" customHeight="1">
      <c r="C664" s="182"/>
      <c r="D664" s="182"/>
      <c r="E664" s="185" t="s">
        <v>2189</v>
      </c>
      <c r="F664" s="186">
        <f>IFERROR(IF(OR(U278="",U278=0),U277*8.5,U278),U277*8.5)</f>
        <v>18836</v>
      </c>
      <c r="G664" s="131" t="s">
        <v>2190</v>
      </c>
      <c r="H664" s="129"/>
      <c r="I664" s="183"/>
      <c r="J664" s="183"/>
      <c r="K664" s="183"/>
      <c r="L664" s="183"/>
      <c r="M664" s="183"/>
      <c r="N664" s="183"/>
      <c r="O664" s="183"/>
      <c r="P664" s="183"/>
      <c r="Q664" s="183"/>
      <c r="R664" s="183"/>
      <c r="S664" s="183"/>
      <c r="T664" s="183"/>
      <c r="U664" s="183"/>
      <c r="V664" s="183"/>
      <c r="W664" s="183"/>
      <c r="X664" s="183"/>
      <c r="Y664" s="183"/>
      <c r="Z664" s="183"/>
      <c r="AA664" s="182"/>
    </row>
    <row r="665" spans="3:27" ht="15.75" hidden="1" customHeight="1">
      <c r="C665" s="182"/>
      <c r="D665" s="182"/>
      <c r="E665" s="183"/>
      <c r="F665" s="183"/>
      <c r="G665" s="183"/>
      <c r="H665" s="183"/>
      <c r="I665" s="183"/>
      <c r="J665" s="183"/>
      <c r="K665" s="183"/>
      <c r="L665" s="183"/>
      <c r="M665" s="183"/>
      <c r="N665" s="183"/>
      <c r="O665" s="183"/>
      <c r="P665" s="183"/>
      <c r="Q665" s="183"/>
      <c r="R665" s="183"/>
      <c r="S665" s="183"/>
      <c r="T665" s="183"/>
      <c r="U665" s="183"/>
      <c r="V665" s="183"/>
      <c r="W665" s="183"/>
      <c r="X665" s="183"/>
      <c r="Y665" s="183"/>
      <c r="Z665" s="183"/>
      <c r="AA665" s="182"/>
    </row>
    <row r="666" spans="3:27" ht="15.75" hidden="1" customHeight="1">
      <c r="C666" s="182"/>
      <c r="D666" s="182"/>
      <c r="E666" s="183" t="s">
        <v>2345</v>
      </c>
      <c r="F666" s="183" t="s">
        <v>2096</v>
      </c>
      <c r="G666" s="183"/>
      <c r="H666" s="183"/>
      <c r="I666" s="183"/>
      <c r="J666" s="183"/>
      <c r="K666" s="183"/>
      <c r="L666" s="183"/>
      <c r="M666" s="183"/>
      <c r="N666" s="183"/>
      <c r="O666" s="183"/>
      <c r="P666" s="183"/>
      <c r="Q666" s="183"/>
      <c r="R666" s="183"/>
      <c r="S666" s="183"/>
      <c r="T666" s="183"/>
      <c r="U666" s="183"/>
      <c r="V666" s="183"/>
      <c r="W666" s="183"/>
      <c r="X666" s="183"/>
      <c r="Y666" s="183"/>
      <c r="Z666" s="183"/>
      <c r="AA666" s="182"/>
    </row>
    <row r="667" spans="3:27" ht="15.75" hidden="1" customHeight="1">
      <c r="C667" s="182"/>
      <c r="D667" s="182"/>
      <c r="E667" s="11" t="s">
        <v>2346</v>
      </c>
      <c r="F667" s="424">
        <f>N39</f>
        <v>263.22105333333332</v>
      </c>
      <c r="G667" s="183"/>
      <c r="H667" s="183"/>
      <c r="I667" s="183"/>
      <c r="J667" s="183"/>
      <c r="K667" s="183"/>
      <c r="L667" s="183"/>
      <c r="M667" s="183"/>
      <c r="N667" s="183"/>
      <c r="O667" s="183"/>
      <c r="P667" s="183"/>
      <c r="Q667" s="183"/>
      <c r="R667" s="183"/>
      <c r="S667" s="183"/>
      <c r="T667" s="183"/>
      <c r="U667" s="183"/>
      <c r="V667" s="183"/>
      <c r="W667" s="183"/>
      <c r="X667" s="183"/>
      <c r="Y667" s="183"/>
      <c r="Z667" s="183"/>
      <c r="AA667" s="182"/>
    </row>
    <row r="668" spans="3:27" ht="15.75" hidden="1" customHeight="1">
      <c r="C668" s="182"/>
      <c r="D668" s="182"/>
      <c r="E668" s="11" t="s">
        <v>2347</v>
      </c>
      <c r="F668" s="422">
        <f>IFERROR(SUBTOTAL(109,N73),0)</f>
        <v>0</v>
      </c>
      <c r="G668" s="183"/>
      <c r="H668" s="183"/>
      <c r="I668" s="183"/>
      <c r="J668" s="183"/>
      <c r="K668" s="183"/>
      <c r="L668" s="183"/>
      <c r="M668" s="183"/>
      <c r="N668" s="183"/>
      <c r="O668" s="183"/>
      <c r="P668" s="183"/>
      <c r="Q668" s="183"/>
      <c r="R668" s="183"/>
      <c r="S668" s="183"/>
      <c r="T668" s="183"/>
      <c r="U668" s="183"/>
      <c r="V668" s="183"/>
      <c r="W668" s="183"/>
      <c r="X668" s="183"/>
      <c r="Y668" s="183"/>
      <c r="Z668" s="183"/>
      <c r="AA668" s="182"/>
    </row>
    <row r="669" spans="3:27" ht="15.75" hidden="1" customHeight="1">
      <c r="C669" s="182"/>
      <c r="D669" s="182"/>
      <c r="E669" s="11" t="s">
        <v>2348</v>
      </c>
      <c r="F669" s="422">
        <f>IFERROR(SUBTOTAL(109,N103),0)</f>
        <v>0</v>
      </c>
      <c r="G669" s="183"/>
      <c r="H669" s="183"/>
      <c r="I669" s="183"/>
      <c r="J669" s="183"/>
      <c r="K669" s="183"/>
      <c r="L669" s="183"/>
      <c r="M669" s="183"/>
      <c r="N669" s="183"/>
      <c r="O669" s="183"/>
      <c r="P669" s="183"/>
      <c r="Q669" s="183"/>
      <c r="R669" s="183"/>
      <c r="S669" s="183"/>
      <c r="T669" s="183"/>
      <c r="U669" s="183"/>
      <c r="V669" s="183"/>
      <c r="W669" s="183"/>
      <c r="X669" s="183"/>
      <c r="Y669" s="183"/>
      <c r="Z669" s="183"/>
      <c r="AA669" s="182"/>
    </row>
    <row r="670" spans="3:27" ht="15.75" hidden="1" customHeight="1">
      <c r="C670" s="182"/>
      <c r="D670" s="182"/>
      <c r="E670" s="11" t="s">
        <v>2349</v>
      </c>
      <c r="F670" s="183">
        <f>IF(F667="Check Missing Inputs",F667,SUM(F667:F669))</f>
        <v>263.22105333333332</v>
      </c>
      <c r="G670" s="183"/>
      <c r="H670" s="183"/>
      <c r="I670" s="183"/>
      <c r="J670" s="183"/>
      <c r="K670" s="183"/>
      <c r="L670" s="183"/>
      <c r="M670" s="183"/>
      <c r="N670" s="183"/>
      <c r="O670" s="183"/>
      <c r="P670" s="183"/>
      <c r="Q670" s="183"/>
      <c r="R670" s="183"/>
      <c r="S670" s="183"/>
      <c r="T670" s="183"/>
      <c r="U670" s="183"/>
      <c r="V670" s="183"/>
      <c r="W670" s="183"/>
      <c r="X670" s="183"/>
      <c r="Y670" s="183"/>
      <c r="Z670" s="183"/>
      <c r="AA670" s="182"/>
    </row>
    <row r="671" spans="3:27" ht="15.75" hidden="1" customHeight="1">
      <c r="C671" s="182"/>
      <c r="D671" s="182"/>
      <c r="E671" s="183"/>
      <c r="F671" s="183"/>
      <c r="G671" s="183"/>
      <c r="H671" s="710" t="s">
        <v>2728</v>
      </c>
      <c r="I671" s="140" t="str">
        <f>IF(OR(C47=2,C47=4),H674,H675)</f>
        <v>Heat Pump</v>
      </c>
      <c r="J671" s="183"/>
      <c r="K671" s="183"/>
      <c r="L671" s="183"/>
      <c r="M671" s="183"/>
      <c r="N671" s="183"/>
      <c r="O671" s="183"/>
      <c r="P671" s="183"/>
      <c r="Q671" s="183"/>
      <c r="R671" s="183"/>
      <c r="S671" s="183"/>
      <c r="T671" s="183"/>
      <c r="U671" s="183"/>
      <c r="V671" s="183"/>
      <c r="W671" s="183"/>
      <c r="X671" s="183"/>
      <c r="Y671" s="183"/>
      <c r="Z671" s="183"/>
      <c r="AA671" s="182"/>
    </row>
    <row r="672" spans="3:27" ht="15.75" hidden="1" customHeight="1">
      <c r="E672" s="96" t="s">
        <v>2729</v>
      </c>
      <c r="H672" s="96" t="s">
        <v>2158</v>
      </c>
      <c r="K672" s="183"/>
    </row>
    <row r="673" spans="3:17" ht="15.75" hidden="1" customHeight="1">
      <c r="E673" s="76"/>
      <c r="F673" s="76"/>
      <c r="H673" s="76"/>
      <c r="I673" s="76"/>
      <c r="K673" s="183"/>
    </row>
    <row r="674" spans="3:17" ht="15.75" hidden="1" customHeight="1">
      <c r="E674" s="107" t="s">
        <v>2154</v>
      </c>
      <c r="F674" s="161">
        <v>1</v>
      </c>
      <c r="H674" s="709" t="s">
        <v>2159</v>
      </c>
      <c r="I674" s="161">
        <v>1.25</v>
      </c>
      <c r="K674" s="183"/>
    </row>
    <row r="675" spans="3:17" ht="39" hidden="1" customHeight="1">
      <c r="E675" s="107" t="s">
        <v>2155</v>
      </c>
      <c r="F675" s="161">
        <v>1.1000000000000001</v>
      </c>
      <c r="H675" s="709" t="s">
        <v>2160</v>
      </c>
      <c r="I675" s="161">
        <v>1.4</v>
      </c>
      <c r="K675" s="183"/>
    </row>
    <row r="676" spans="3:17" ht="31.5" hidden="1" customHeight="1">
      <c r="E676" s="107" t="str">
        <f>IF(Menu_HydronicHeatingSystem="No","Unducted","""")</f>
        <v>Unducted</v>
      </c>
      <c r="F676" s="161">
        <v>1</v>
      </c>
      <c r="H676" s="40" t="s">
        <v>2569</v>
      </c>
      <c r="I676" s="616">
        <f>VLOOKUP(I671,Table_MaxOutputMultiplier,2,FALSE)</f>
        <v>1.25</v>
      </c>
      <c r="J676" s="184"/>
      <c r="K676" s="183"/>
    </row>
    <row r="677" spans="3:17" ht="15.75" hidden="1" customHeight="1">
      <c r="E677" s="40" t="s">
        <v>2571</v>
      </c>
      <c r="F677" s="157">
        <f>VLOOKUP(G254,Table_DuctLossMultiplier,2,FALSE)</f>
        <v>1.1000000000000001</v>
      </c>
      <c r="H677" s="40" t="s">
        <v>2570</v>
      </c>
      <c r="I677" s="616">
        <f>VLOOKUP(U282,Table_MaxOutputMultiplier,2,FALSE)</f>
        <v>1.4</v>
      </c>
      <c r="J677" s="184"/>
      <c r="K677" s="183"/>
    </row>
    <row r="678" spans="3:17" ht="15.75" hidden="1" customHeight="1">
      <c r="E678" s="40" t="s">
        <v>2572</v>
      </c>
      <c r="F678" s="157">
        <f>VLOOKUP(U283,Table_DuctLossMultiplier,2,FALSE)</f>
        <v>1.1000000000000001</v>
      </c>
      <c r="K678" s="183"/>
    </row>
    <row r="679" spans="3:17" ht="15.75" hidden="1" customHeight="1">
      <c r="K679" s="183"/>
    </row>
    <row r="680" spans="3:17" ht="35.25" hidden="1" customHeight="1">
      <c r="K680" s="183"/>
      <c r="L680" s="1151" t="s">
        <v>2379</v>
      </c>
      <c r="M680" s="1151"/>
      <c r="N680" s="1151" t="s">
        <v>2092</v>
      </c>
      <c r="O680" s="1151"/>
      <c r="P680" s="451" t="s">
        <v>2378</v>
      </c>
      <c r="Q680" s="455"/>
    </row>
    <row r="681" spans="3:17" ht="48.75" hidden="1" customHeight="1">
      <c r="K681" s="183"/>
      <c r="L681" s="1152">
        <f>L47</f>
        <v>2</v>
      </c>
      <c r="M681" s="1152"/>
      <c r="N681" s="1152">
        <f>J61</f>
        <v>4.5</v>
      </c>
      <c r="O681" s="1152"/>
      <c r="P681" s="1133">
        <f>IF(ISNUMBER(L681)=TRUE,L681+N681,N681)</f>
        <v>6.5</v>
      </c>
      <c r="Q681" s="1133"/>
    </row>
    <row r="682" spans="3:17" ht="15.75" hidden="1" customHeight="1">
      <c r="K682" s="183"/>
    </row>
    <row r="683" spans="3:17" ht="15.75" hidden="1" customHeight="1">
      <c r="K683" s="183"/>
    </row>
    <row r="684" spans="3:17" ht="15.75" hidden="1" customHeight="1">
      <c r="D684" s="459" t="s">
        <v>2362</v>
      </c>
      <c r="K684" s="183"/>
    </row>
    <row r="685" spans="3:17" ht="15.75" hidden="1" customHeight="1">
      <c r="D685" s="459" t="s">
        <v>2878</v>
      </c>
      <c r="E685" s="460"/>
      <c r="F685"/>
      <c r="G685" s="40" t="s">
        <v>2377</v>
      </c>
      <c r="H685" s="464">
        <f>IF(F19=N387,H686,G686)</f>
        <v>5</v>
      </c>
      <c r="K685" s="183"/>
    </row>
    <row r="686" spans="3:17" ht="15.75" hidden="1" customHeight="1">
      <c r="D686" s="37">
        <v>1</v>
      </c>
      <c r="E686" s="462">
        <v>2</v>
      </c>
      <c r="F686" s="463">
        <v>3</v>
      </c>
      <c r="G686" s="37">
        <v>4</v>
      </c>
      <c r="H686" s="37">
        <v>5</v>
      </c>
      <c r="K686" s="183"/>
    </row>
    <row r="687" spans="3:17" ht="54" hidden="1" customHeight="1">
      <c r="C687" s="453"/>
      <c r="D687" s="453" t="s">
        <v>2372</v>
      </c>
      <c r="E687" s="458"/>
      <c r="F687" s="458"/>
      <c r="G687" s="461" t="s">
        <v>2087</v>
      </c>
      <c r="H687" s="461"/>
    </row>
    <row r="688" spans="3:17" ht="64.5" hidden="1" customHeight="1">
      <c r="D688" s="454"/>
      <c r="E688" s="456" t="s">
        <v>2363</v>
      </c>
      <c r="F688" s="456" t="s">
        <v>2376</v>
      </c>
      <c r="G688" s="457" t="s">
        <v>2364</v>
      </c>
      <c r="H688" s="457" t="s">
        <v>2365</v>
      </c>
    </row>
    <row r="689" spans="4:12" ht="64.5" hidden="1" customHeight="1" thickBot="1">
      <c r="D689" s="564" t="str">
        <f>IF(Menu_CodeVersion=MenuItem_WSEC2018,D711,D700)</f>
        <v>Combustion System</v>
      </c>
      <c r="E689" s="452" t="str">
        <f t="shared" ref="E689:H693" si="132">IF(Menu_CodeVersion=$K$399,E700,E711)</f>
        <v>Combustion heating equipment meeting minimum federal efficiency standards for the equipment listed in Table C403.3.2(5) or C403.3.2(6)</v>
      </c>
      <c r="F689" s="452">
        <f t="shared" si="132"/>
        <v>1</v>
      </c>
      <c r="G689" s="452">
        <f t="shared" si="132"/>
        <v>0</v>
      </c>
      <c r="H689" s="452">
        <f t="shared" si="132"/>
        <v>0</v>
      </c>
      <c r="L689" s="183"/>
    </row>
    <row r="690" spans="4:12" ht="111" hidden="1" customHeight="1" thickBot="1">
      <c r="D690" s="564" t="str">
        <f>IF(Menu_CodeVersion=MenuItem_WSEC2018,D712,D701)</f>
        <v>Heat Pump with Supplemental Heating</v>
      </c>
      <c r="E690" s="452" t="str">
        <f t="shared" si="132"/>
        <v>For heating system using a heat pump that meets federal standards for the equipment listed in Table C403.3.2(2) and supplemental heating provided by electric resistance or a combustion furnace meeting minimum standards Listed in Table C403.3.2(5)b found in the 2021 WSEC - COMMERCIAL ENERGY CODE.</v>
      </c>
      <c r="F690" s="452">
        <f t="shared" si="132"/>
        <v>2</v>
      </c>
      <c r="G690" s="452">
        <f t="shared" si="132"/>
        <v>1.5</v>
      </c>
      <c r="H690" s="452">
        <f t="shared" si="132"/>
        <v>0</v>
      </c>
      <c r="L690" s="183"/>
    </row>
    <row r="691" spans="4:12" ht="64.5" hidden="1" customHeight="1" thickBot="1">
      <c r="D691" s="564" t="str">
        <f>IF(Menu_CodeVersion=MenuItem_WSEC2018,D713,D702)</f>
        <v>Electric Resistance Only</v>
      </c>
      <c r="E691" s="452" t="str">
        <f t="shared" si="132"/>
        <v>For heating system based on electric resistance only (either forced air or Zonal)</v>
      </c>
      <c r="F691" s="452">
        <f t="shared" si="132"/>
        <v>3</v>
      </c>
      <c r="G691" s="452">
        <f t="shared" si="132"/>
        <v>0.5</v>
      </c>
      <c r="H691" s="452">
        <f t="shared" si="132"/>
        <v>-0.5</v>
      </c>
      <c r="L691" s="183"/>
    </row>
    <row r="692" spans="4:12" ht="64.5" hidden="1" customHeight="1" thickBot="1">
      <c r="D692" s="564" t="str">
        <f>IF(Menu_CodeVersion=MenuItem_WSEC2018,D714,D703)</f>
        <v>Variable Refrigerant Heat Pump or Air-to-Water Heat Pump</v>
      </c>
      <c r="E692" s="452" t="str">
        <f t="shared" si="132"/>
        <v xml:space="preserve">For heating system using a heat pump that meets federal standards for the equipment listed in Table C403.3.2(2) or Table C403.3.2(9) OR Air to Water heat pump units that are configured to provide both heating and cooling and are rated in accordance with AHRI 550/590 </v>
      </c>
      <c r="F692" s="452">
        <f t="shared" si="132"/>
        <v>4</v>
      </c>
      <c r="G692" s="452">
        <f t="shared" si="132"/>
        <v>3</v>
      </c>
      <c r="H692" s="452">
        <f t="shared" si="132"/>
        <v>2</v>
      </c>
      <c r="L692" s="183"/>
    </row>
    <row r="693" spans="4:12" ht="64.5" hidden="1" customHeight="1" thickBot="1">
      <c r="D693" s="564" t="str">
        <f>IF(Menu_CodeVersion=MenuItem_WSEC2018,D715,D704)</f>
        <v>Electric Resistance with Ductless Heat Pump OR electric resistance with max 2 kW installed capacity</v>
      </c>
      <c r="E693" s="452" t="str">
        <f t="shared" si="132"/>
        <v>For heating system based on electric resistance with (1) inverter driven ductless mini-split heat pump system installed in the largest zone in the dwelling OR (2) With 2kW or less total installed heating capacity per dwelling</v>
      </c>
      <c r="F693" s="452">
        <f t="shared" si="132"/>
        <v>5</v>
      </c>
      <c r="G693" s="452">
        <f t="shared" si="132"/>
        <v>2</v>
      </c>
      <c r="H693" s="452">
        <f t="shared" si="132"/>
        <v>0</v>
      </c>
      <c r="L693" s="183"/>
    </row>
    <row r="694" spans="4:12" ht="15.75" hidden="1" customHeight="1">
      <c r="K694" s="183"/>
    </row>
    <row r="695" spans="4:12" ht="15.75" hidden="1" customHeight="1">
      <c r="D695" s="459" t="s">
        <v>2362</v>
      </c>
      <c r="K695" s="183"/>
    </row>
    <row r="696" spans="4:12" ht="15.75" hidden="1" customHeight="1">
      <c r="D696" s="459" t="s">
        <v>2857</v>
      </c>
      <c r="E696" s="460"/>
      <c r="F696"/>
      <c r="G696" s="40" t="s">
        <v>2377</v>
      </c>
      <c r="H696" s="464">
        <f>IF(F30=N398,H697,G697)</f>
        <v>4</v>
      </c>
      <c r="K696" s="183"/>
    </row>
    <row r="697" spans="4:12" ht="15.75" hidden="1" customHeight="1">
      <c r="D697" s="37">
        <v>1</v>
      </c>
      <c r="E697" s="462">
        <v>2</v>
      </c>
      <c r="F697" s="463">
        <v>3</v>
      </c>
      <c r="G697" s="37">
        <v>4</v>
      </c>
      <c r="H697" s="37">
        <v>5</v>
      </c>
      <c r="K697" s="183"/>
    </row>
    <row r="698" spans="4:12" ht="15.75" hidden="1" customHeight="1">
      <c r="D698" s="453" t="s">
        <v>2372</v>
      </c>
      <c r="E698" s="458"/>
      <c r="F698" s="458"/>
      <c r="G698" s="461" t="s">
        <v>2087</v>
      </c>
      <c r="H698" s="461"/>
      <c r="K698" s="183"/>
    </row>
    <row r="699" spans="4:12" ht="33.75" hidden="1" customHeight="1">
      <c r="D699" s="454"/>
      <c r="E699" s="456" t="s">
        <v>2363</v>
      </c>
      <c r="F699" s="456" t="s">
        <v>2376</v>
      </c>
      <c r="G699" s="457" t="s">
        <v>2364</v>
      </c>
      <c r="H699" s="457" t="s">
        <v>2365</v>
      </c>
      <c r="K699" s="183"/>
    </row>
    <row r="700" spans="4:12" ht="63.75" hidden="1" customHeight="1">
      <c r="D700" s="1007" t="str">
        <f>E745</f>
        <v>Combustion System</v>
      </c>
      <c r="E700" s="820" t="s">
        <v>2858</v>
      </c>
      <c r="F700" s="819">
        <v>1</v>
      </c>
      <c r="G700" s="819">
        <v>0</v>
      </c>
      <c r="H700" s="821">
        <v>0</v>
      </c>
      <c r="K700" s="183"/>
    </row>
    <row r="701" spans="4:12" ht="89.25" hidden="1" customHeight="1">
      <c r="D701" s="1007" t="str">
        <f t="shared" ref="D701:D704" si="133">E746</f>
        <v>Heat Pump with Supplemental Heating</v>
      </c>
      <c r="E701" s="823" t="s">
        <v>3039</v>
      </c>
      <c r="F701" s="824">
        <v>2</v>
      </c>
      <c r="G701" s="825">
        <v>1.5</v>
      </c>
      <c r="H701" s="826">
        <v>0</v>
      </c>
      <c r="K701" s="183"/>
    </row>
    <row r="702" spans="4:12" ht="63.75" hidden="1" customHeight="1" thickBot="1">
      <c r="D702" s="1007" t="str">
        <f t="shared" si="133"/>
        <v>Electric Resistance Only</v>
      </c>
      <c r="E702" s="822" t="s">
        <v>2367</v>
      </c>
      <c r="F702" s="817">
        <v>3</v>
      </c>
      <c r="G702" s="817">
        <v>0.5</v>
      </c>
      <c r="H702" s="818">
        <v>-0.5</v>
      </c>
      <c r="K702" s="183"/>
    </row>
    <row r="703" spans="4:12" ht="65.25" hidden="1" customHeight="1" thickBot="1">
      <c r="D703" s="1007" t="str">
        <f t="shared" si="133"/>
        <v>Variable Refrigerant Heat Pump or Air-to-Water Heat Pump</v>
      </c>
      <c r="E703" s="816" t="s">
        <v>2859</v>
      </c>
      <c r="F703" s="817">
        <v>4</v>
      </c>
      <c r="G703" s="817">
        <v>3</v>
      </c>
      <c r="H703" s="818">
        <v>2</v>
      </c>
      <c r="K703" s="183"/>
    </row>
    <row r="704" spans="4:12" ht="67.5" hidden="1" customHeight="1" thickBot="1">
      <c r="D704" s="1007" t="str">
        <f t="shared" si="133"/>
        <v>Electric Resistance with Ductless Heat Pump OR electric resistance with max 2 kW installed capacity</v>
      </c>
      <c r="E704" s="816" t="s">
        <v>3040</v>
      </c>
      <c r="F704" s="817">
        <v>5</v>
      </c>
      <c r="G704" s="817">
        <v>2</v>
      </c>
      <c r="H704" s="818">
        <v>0</v>
      </c>
      <c r="K704" s="183"/>
    </row>
    <row r="705" spans="1:34" ht="15.75" hidden="1" customHeight="1">
      <c r="K705" s="183"/>
    </row>
    <row r="706" spans="1:34" ht="15.75" hidden="1" customHeight="1">
      <c r="D706" s="459" t="s">
        <v>2362</v>
      </c>
      <c r="K706" s="183"/>
    </row>
    <row r="707" spans="1:34" ht="15.75" hidden="1" customHeight="1">
      <c r="D707" s="459" t="s">
        <v>2856</v>
      </c>
      <c r="E707" s="460"/>
      <c r="F707"/>
      <c r="G707" s="40" t="s">
        <v>2377</v>
      </c>
      <c r="K707" s="183"/>
    </row>
    <row r="708" spans="1:34" ht="15.75" hidden="1" customHeight="1">
      <c r="D708" s="37">
        <v>1</v>
      </c>
      <c r="E708" s="462">
        <v>2</v>
      </c>
      <c r="F708" s="463">
        <v>3</v>
      </c>
      <c r="G708" s="37">
        <v>4</v>
      </c>
      <c r="H708" s="37">
        <v>5</v>
      </c>
      <c r="K708" s="183"/>
    </row>
    <row r="709" spans="1:34" ht="15.75" hidden="1" customHeight="1">
      <c r="D709" s="453" t="s">
        <v>2372</v>
      </c>
      <c r="E709" s="458"/>
      <c r="F709" s="458"/>
      <c r="G709" s="461" t="s">
        <v>2087</v>
      </c>
      <c r="H709" s="461"/>
      <c r="K709" s="183"/>
    </row>
    <row r="710" spans="1:34" ht="26.25" hidden="1" customHeight="1">
      <c r="D710" s="454"/>
      <c r="E710" s="456" t="s">
        <v>2363</v>
      </c>
      <c r="F710" s="456" t="s">
        <v>2376</v>
      </c>
      <c r="G710" s="457" t="s">
        <v>2364</v>
      </c>
      <c r="H710" s="457" t="s">
        <v>2365</v>
      </c>
    </row>
    <row r="711" spans="1:34" ht="66.75" hidden="1" customHeight="1">
      <c r="D711" s="1008" t="str">
        <f>E758</f>
        <v>Min Federal Efficiency System</v>
      </c>
      <c r="E711" s="820" t="s">
        <v>2366</v>
      </c>
      <c r="F711" s="819">
        <v>1</v>
      </c>
      <c r="G711" s="819">
        <v>0</v>
      </c>
      <c r="H711" s="821">
        <v>0</v>
      </c>
    </row>
    <row r="712" spans="1:34" ht="73.5" hidden="1" customHeight="1">
      <c r="D712" s="1008" t="str">
        <f>E759</f>
        <v>Heat Pump</v>
      </c>
      <c r="E712" s="823" t="s">
        <v>2493</v>
      </c>
      <c r="F712" s="824">
        <v>2</v>
      </c>
      <c r="G712" s="825">
        <v>1</v>
      </c>
      <c r="H712" s="826">
        <v>1</v>
      </c>
    </row>
    <row r="713" spans="1:34" ht="66.75" hidden="1" customHeight="1" thickBot="1">
      <c r="D713" s="1008" t="str">
        <f>E760</f>
        <v>Electric Resistance Only</v>
      </c>
      <c r="E713" s="816" t="s">
        <v>2367</v>
      </c>
      <c r="F713" s="817">
        <v>3</v>
      </c>
      <c r="G713" s="817">
        <v>-1</v>
      </c>
      <c r="H713" s="818">
        <v>-1</v>
      </c>
    </row>
    <row r="714" spans="1:34" ht="66.75" hidden="1" customHeight="1" thickBot="1">
      <c r="D714" s="1008" t="str">
        <f>E761</f>
        <v>Electric Resistance with Ductless Heat Pump</v>
      </c>
      <c r="E714" s="816" t="s">
        <v>2368</v>
      </c>
      <c r="F714" s="817">
        <v>4</v>
      </c>
      <c r="G714" s="817">
        <v>0.5</v>
      </c>
      <c r="H714" s="818" t="s">
        <v>2779</v>
      </c>
    </row>
    <row r="715" spans="1:34" ht="74.25" hidden="1" customHeight="1" thickBot="1">
      <c r="D715" s="1008" t="str">
        <f>E762</f>
        <v>All Other Heating Systems</v>
      </c>
      <c r="E715" s="816" t="s">
        <v>2369</v>
      </c>
      <c r="F715" s="817">
        <v>5</v>
      </c>
      <c r="G715" s="817">
        <v>-1</v>
      </c>
      <c r="H715" s="818">
        <v>-0.5</v>
      </c>
    </row>
    <row r="716" spans="1:34" ht="15.75" hidden="1" customHeight="1"/>
    <row r="717" spans="1:34" ht="15.75" hidden="1" customHeight="1">
      <c r="K717" s="183"/>
    </row>
    <row r="718" spans="1:34" ht="15.75" hidden="1" customHeight="1">
      <c r="K718" s="183"/>
    </row>
    <row r="719" spans="1:34" ht="15.75" hidden="1" customHeight="1">
      <c r="A719" s="827"/>
      <c r="B719" s="827"/>
      <c r="C719" s="827"/>
      <c r="D719" s="827"/>
      <c r="E719" s="827"/>
      <c r="F719" s="827"/>
      <c r="G719" s="827"/>
      <c r="H719" s="827"/>
      <c r="I719" s="827"/>
      <c r="J719" s="827"/>
      <c r="K719" s="828"/>
      <c r="L719" s="827"/>
      <c r="M719" s="827"/>
      <c r="N719" s="827"/>
      <c r="O719" s="827"/>
      <c r="P719" s="827"/>
      <c r="Q719" s="827"/>
      <c r="R719" s="827"/>
      <c r="S719" s="827"/>
      <c r="T719" s="827"/>
      <c r="U719" s="827"/>
      <c r="V719" s="827"/>
      <c r="W719" s="827"/>
      <c r="X719" s="827"/>
      <c r="Y719" s="827"/>
      <c r="Z719" s="827"/>
      <c r="AA719" s="827"/>
      <c r="AB719" s="827"/>
      <c r="AC719" s="827"/>
      <c r="AD719" s="827"/>
      <c r="AE719" s="827"/>
      <c r="AF719" s="827"/>
      <c r="AG719" s="827"/>
      <c r="AH719" s="827"/>
    </row>
    <row r="720" spans="1:34" ht="15.75" hidden="1" customHeight="1">
      <c r="K720" s="183"/>
    </row>
    <row r="721" spans="4:33" ht="15.75" hidden="1" customHeight="1">
      <c r="K721" s="183"/>
    </row>
    <row r="722" spans="4:33" ht="15.75" hidden="1" customHeight="1">
      <c r="E722" s="40" t="s">
        <v>2523</v>
      </c>
      <c r="F722" s="571" t="s">
        <v>2340</v>
      </c>
    </row>
    <row r="723" spans="4:33" ht="15.75" hidden="1" customHeight="1">
      <c r="E723" s="40" t="s">
        <v>2873</v>
      </c>
      <c r="F723" s="568" t="str">
        <f>H53</f>
        <v>Option 3.6</v>
      </c>
    </row>
    <row r="724" spans="4:33" ht="15.75" hidden="1" customHeight="1">
      <c r="E724" s="40" t="s">
        <v>2874</v>
      </c>
      <c r="F724" s="568" t="str">
        <f>H47</f>
        <v>Variable Refrigerant Heat Pump or Air-to-Water Heat Pump</v>
      </c>
    </row>
    <row r="725" spans="4:33" ht="15.75" hidden="1" customHeight="1">
      <c r="E725" s="40" t="s">
        <v>2518</v>
      </c>
      <c r="F725" s="569" t="str">
        <f>IF(F723=0,"",IF(ISERROR(VLOOKUP(F724,DropDown_FuelNormalizationSystem,1,FALSE))=TRUE,"Reselect System",""))</f>
        <v/>
      </c>
    </row>
    <row r="726" spans="4:33" ht="15.75" hidden="1" customHeight="1">
      <c r="E726" s="40" t="s">
        <v>2519</v>
      </c>
      <c r="F726" s="569" t="s">
        <v>2520</v>
      </c>
      <c r="U726"/>
      <c r="V726"/>
      <c r="W726"/>
      <c r="X726"/>
      <c r="Y726"/>
      <c r="Z726"/>
      <c r="AA726"/>
      <c r="AB726"/>
      <c r="AC726"/>
      <c r="AD726"/>
    </row>
    <row r="727" spans="4:33" ht="15.75" hidden="1" customHeight="1">
      <c r="F727" s="11" t="s">
        <v>2372</v>
      </c>
      <c r="U727"/>
      <c r="V727"/>
      <c r="W727"/>
      <c r="X727"/>
      <c r="Y727"/>
      <c r="Z727"/>
      <c r="AA727"/>
      <c r="AB727"/>
      <c r="AC727"/>
      <c r="AD727"/>
      <c r="AF727"/>
    </row>
    <row r="728" spans="4:33" ht="15.75" hidden="1" customHeight="1">
      <c r="D728" s="37">
        <v>1</v>
      </c>
      <c r="E728" s="11" t="str">
        <f>Menu_CodeVersion</f>
        <v>WSEC 2021</v>
      </c>
      <c r="F728" s="566"/>
      <c r="H728" s="562" t="str">
        <f>$H462</f>
        <v>Not Selected</v>
      </c>
      <c r="I728" s="562" t="str">
        <f>$H463</f>
        <v>Option 3.1</v>
      </c>
      <c r="J728" s="562" t="str">
        <f>$H464</f>
        <v>Option 3.2</v>
      </c>
      <c r="K728" s="562" t="str">
        <f>$H465</f>
        <v>Option 3.3</v>
      </c>
      <c r="L728" s="562" t="str">
        <f>$H466</f>
        <v>Option 3.4</v>
      </c>
      <c r="M728" s="562" t="str">
        <f>$H467</f>
        <v>Option 3.5</v>
      </c>
      <c r="N728" s="562" t="str">
        <f>$H468</f>
        <v>Option 3.6</v>
      </c>
      <c r="O728" s="562" t="str">
        <f>H469</f>
        <v>Option 3.7</v>
      </c>
      <c r="P728" s="562" t="str">
        <f>$H470</f>
        <v>Option 3.8</v>
      </c>
      <c r="Q728" s="562" t="str">
        <f>$H471</f>
        <v>Option 3.9</v>
      </c>
      <c r="R728" s="562" t="str">
        <f>H472</f>
        <v>Option 3.10</v>
      </c>
      <c r="V728"/>
      <c r="W728"/>
      <c r="X728"/>
      <c r="Y728"/>
      <c r="Z728"/>
      <c r="AA728"/>
      <c r="AB728"/>
      <c r="AC728"/>
      <c r="AD728"/>
      <c r="AE728"/>
      <c r="AF728" s="573"/>
    </row>
    <row r="729" spans="4:33" ht="15.75" hidden="1" customHeight="1">
      <c r="D729" s="37">
        <v>2</v>
      </c>
      <c r="E729" s="577" t="str">
        <f>IF(Menu_CodeVersion=$E$744,E745,E758)</f>
        <v>Combustion System</v>
      </c>
      <c r="F729" s="567" t="str">
        <f>IF(F$722="No",E729,IF(F$723=0,E729,IF(G729=0,"",G729)))</f>
        <v>Combustion System</v>
      </c>
      <c r="G729" s="975" t="str">
        <f>IFERROR(HLOOKUP(F$723,Table_FuelNormCreditOption3Rules,D729,FALSE),"")</f>
        <v>Variable Refrigerant Heat Pump or Air-to-Water Heat Pump</v>
      </c>
      <c r="H729" s="563" t="str">
        <f t="shared" ref="H729:N730" si="134">IF(Menu_CodeVersion=$E$744,E740,E753)</f>
        <v>Combustion System</v>
      </c>
      <c r="I729" s="563" t="str">
        <f>IF(Menu_CodeVersion=$E$744,$F740,$F753)</f>
        <v>Combustion System</v>
      </c>
      <c r="J729" s="563" t="str">
        <f t="shared" si="134"/>
        <v>Heat Pump with Supplemental Heating</v>
      </c>
      <c r="K729" s="563" t="str">
        <f t="shared" si="134"/>
        <v>Variable Refrigerant Heat Pump or Air-to-Water Heat Pump</v>
      </c>
      <c r="L729" s="563" t="str">
        <f t="shared" si="134"/>
        <v>Variable Refrigerant Heat Pump or Air-to-Water Heat Pump</v>
      </c>
      <c r="M729" s="563" t="str">
        <f t="shared" si="134"/>
        <v>Electric Resistance with Ductless Heat Pump OR electric resistance with max 2 kW installed capacity</v>
      </c>
      <c r="N729" s="563" t="str">
        <f t="shared" si="134"/>
        <v>Variable Refrigerant Heat Pump or Air-to-Water Heat Pump</v>
      </c>
      <c r="O729" s="563" t="str">
        <f>IF(Menu_CodeVersion=$E$744,L740,L753)</f>
        <v>Variable Refrigerant Heat Pump or Air-to-Water Heat Pump</v>
      </c>
      <c r="P729" s="563" t="str">
        <f t="shared" ref="P729:P730" si="135">IF(Menu_CodeVersion=$E$744,M740,L753)</f>
        <v>Variable Refrigerant Heat Pump or Air-to-Water Heat Pump</v>
      </c>
      <c r="Q729" s="563" t="str">
        <f>IF(Menu_CodeVersion=$E$744,N740,N753)</f>
        <v>Combustion System</v>
      </c>
      <c r="R729" s="563" t="str">
        <f>IF(Menu_CodeVersion=$E$744,O740,O753)</f>
        <v>Combustion System</v>
      </c>
      <c r="V729"/>
      <c r="W729"/>
      <c r="X729"/>
      <c r="Y729"/>
      <c r="Z729"/>
      <c r="AA729"/>
      <c r="AB729"/>
      <c r="AC729"/>
      <c r="AD729"/>
      <c r="AE729"/>
    </row>
    <row r="730" spans="4:33" ht="15.75" hidden="1" customHeight="1">
      <c r="D730" s="37">
        <v>3</v>
      </c>
      <c r="E730" s="577" t="str">
        <f>IF(Menu_CodeVersion=$E$744,E746,E759)</f>
        <v>Heat Pump with Supplemental Heating</v>
      </c>
      <c r="F730" s="567" t="str">
        <f>IF(F$722="No",E730,IF(F$723=0,E730,IF(#REF!=0,"",#REF!)))</f>
        <v>Heat Pump with Supplemental Heating</v>
      </c>
      <c r="G730" s="975">
        <f>IFERROR(HLOOKUP(F$723,Table_FuelNormCreditOption3Rules,D730,FALSE),"")</f>
        <v>0</v>
      </c>
      <c r="H730" s="563">
        <f>IF(Menu_CodeVersion=$E$744,$E741,$E754)</f>
        <v>0</v>
      </c>
      <c r="I730" s="563">
        <f t="shared" si="134"/>
        <v>0</v>
      </c>
      <c r="J730" s="563">
        <f t="shared" si="134"/>
        <v>0</v>
      </c>
      <c r="K730" s="563" t="str">
        <f t="shared" si="134"/>
        <v>Heat Pump with Supplemental Heating</v>
      </c>
      <c r="L730" s="563">
        <f t="shared" si="134"/>
        <v>0</v>
      </c>
      <c r="M730" s="563">
        <f t="shared" si="134"/>
        <v>0</v>
      </c>
      <c r="N730" s="563">
        <f t="shared" si="134"/>
        <v>0</v>
      </c>
      <c r="O730" s="563">
        <f>IF(Menu_CodeVersion=$E$744,L741,L754)</f>
        <v>0</v>
      </c>
      <c r="P730" s="563">
        <f t="shared" si="135"/>
        <v>0</v>
      </c>
      <c r="Q730" s="563">
        <f>IF(Menu_CodeVersion=$E$744,N741,N754)</f>
        <v>0</v>
      </c>
      <c r="R730" s="563">
        <f>IF(Menu_CodeVersion=$E$744,O741,O754)</f>
        <v>0</v>
      </c>
      <c r="V730"/>
      <c r="W730"/>
      <c r="X730"/>
      <c r="Y730"/>
      <c r="Z730"/>
      <c r="AA730"/>
      <c r="AB730"/>
      <c r="AC730"/>
      <c r="AD730"/>
      <c r="AE730"/>
    </row>
    <row r="731" spans="4:33" ht="18" hidden="1" customHeight="1">
      <c r="D731" s="37">
        <v>4</v>
      </c>
      <c r="E731" s="577" t="str">
        <f>IF(Menu_CodeVersion=$E$744,E747,E760)</f>
        <v>Electric Resistance Only</v>
      </c>
      <c r="F731" s="567" t="str">
        <f>IF(F$722="No",E731,IF(F$723=0,E731,IF(G731=0,"",G731)))</f>
        <v>Electric Resistance Only</v>
      </c>
      <c r="G731" s="11">
        <f>IFERROR(HLOOKUP(F$723,Table_FuelNormCreditOption3Rules,D731,FALSE),"")</f>
        <v>0</v>
      </c>
      <c r="H731" s="586"/>
      <c r="I731" s="182"/>
      <c r="J731" s="182"/>
      <c r="K731" s="182"/>
      <c r="L731" s="182"/>
      <c r="M731" s="182"/>
      <c r="P731" s="583"/>
      <c r="R731" s="583"/>
      <c r="V731"/>
      <c r="W731"/>
      <c r="X731"/>
      <c r="Y731"/>
      <c r="Z731"/>
      <c r="AA731"/>
      <c r="AB731"/>
      <c r="AC731"/>
      <c r="AD731"/>
      <c r="AE731"/>
    </row>
    <row r="732" spans="4:33" ht="36.75" hidden="1" customHeight="1">
      <c r="D732" s="37">
        <v>5</v>
      </c>
      <c r="E732" s="577" t="str">
        <f>IF(Menu_CodeVersion=$E$744,E748,E761)</f>
        <v>Variable Refrigerant Heat Pump or Air-to-Water Heat Pump</v>
      </c>
      <c r="F732" s="567" t="str">
        <f>IF(F$722="No",E732,IF(F$723=0,E732,IF(G732=0,"",G732)))</f>
        <v>Variable Refrigerant Heat Pump or Air-to-Water Heat Pump</v>
      </c>
      <c r="G732" s="11">
        <f>IFERROR(HLOOKUP(F$723,Table_FuelNormCreditOption3Rules,D732,FALSE),"")</f>
        <v>0</v>
      </c>
      <c r="H732" s="586"/>
      <c r="I732" s="182"/>
      <c r="J732" s="182"/>
      <c r="K732" s="182"/>
      <c r="L732" s="182"/>
      <c r="M732" s="182"/>
      <c r="P732" s="583"/>
      <c r="R732" s="583"/>
      <c r="V732"/>
      <c r="W732"/>
      <c r="X732"/>
      <c r="Y732"/>
      <c r="Z732"/>
      <c r="AA732"/>
      <c r="AB732"/>
      <c r="AC732"/>
      <c r="AD732"/>
      <c r="AE732"/>
    </row>
    <row r="733" spans="4:33" ht="15.75" hidden="1" customHeight="1">
      <c r="D733" s="37">
        <v>6</v>
      </c>
      <c r="E733" s="577" t="str">
        <f>IF(Menu_CodeVersion=$E$744,E749,E762)</f>
        <v>Electric Resistance with Ductless Heat Pump OR electric resistance with max 2 kW installed capacity</v>
      </c>
      <c r="F733" s="567" t="str">
        <f>IF(F$722="No",E733,IF(F$723=0,E733,IF(G733=0,"",G733)))</f>
        <v>Electric Resistance with Ductless Heat Pump OR electric resistance with max 2 kW installed capacity</v>
      </c>
      <c r="G733" s="11">
        <f>IFERROR(HLOOKUP(F$723,Table_FuelNormCreditOption3Rules,D733,FALSE),"")</f>
        <v>0</v>
      </c>
      <c r="H733" s="587"/>
      <c r="I733" s="584"/>
      <c r="J733" s="584"/>
      <c r="K733" s="584"/>
      <c r="L733" s="584"/>
      <c r="M733" s="584"/>
      <c r="P733" s="585"/>
      <c r="R733" s="585"/>
      <c r="V733"/>
      <c r="W733"/>
      <c r="X733"/>
      <c r="Y733"/>
      <c r="Z733"/>
      <c r="AA733"/>
      <c r="AB733"/>
      <c r="AC733"/>
      <c r="AD733"/>
      <c r="AE733"/>
      <c r="AF733" s="572"/>
    </row>
    <row r="734" spans="4:33" ht="15.75" hidden="1" customHeight="1">
      <c r="D734" s="37"/>
      <c r="E734" s="37">
        <v>1</v>
      </c>
      <c r="F734" s="37">
        <f>E734+1</f>
        <v>2</v>
      </c>
      <c r="G734" s="37">
        <f t="shared" ref="G734:M734" si="136">F734+1</f>
        <v>3</v>
      </c>
      <c r="H734" s="37">
        <f t="shared" si="136"/>
        <v>4</v>
      </c>
      <c r="I734" s="37">
        <f t="shared" si="136"/>
        <v>5</v>
      </c>
      <c r="J734" s="37">
        <f t="shared" si="136"/>
        <v>6</v>
      </c>
      <c r="K734" s="37">
        <f t="shared" si="136"/>
        <v>7</v>
      </c>
      <c r="L734" s="37">
        <f t="shared" si="136"/>
        <v>8</v>
      </c>
      <c r="M734" s="37">
        <f t="shared" si="136"/>
        <v>9</v>
      </c>
      <c r="N734" s="37">
        <f t="shared" ref="N734" si="137">M734+1</f>
        <v>10</v>
      </c>
      <c r="P734" s="37">
        <f>M734+1</f>
        <v>10</v>
      </c>
      <c r="R734" s="37">
        <f>N734+1</f>
        <v>11</v>
      </c>
      <c r="V734"/>
      <c r="W734"/>
      <c r="X734"/>
      <c r="Y734"/>
      <c r="Z734"/>
      <c r="AA734"/>
      <c r="AB734"/>
      <c r="AC734"/>
      <c r="AD734"/>
      <c r="AE734"/>
      <c r="AG734"/>
    </row>
    <row r="735" spans="4:33" ht="15.75" hidden="1" customHeight="1">
      <c r="E735" s="578" t="s">
        <v>2528</v>
      </c>
      <c r="F735" s="579">
        <f>IF(Menu_CodeVersion=$E$744,N750,L763)</f>
        <v>0</v>
      </c>
      <c r="U735"/>
      <c r="V735"/>
      <c r="W735"/>
      <c r="X735"/>
      <c r="Y735"/>
      <c r="Z735"/>
      <c r="AA735"/>
      <c r="AB735"/>
      <c r="AC735"/>
      <c r="AD735"/>
    </row>
    <row r="736" spans="4:33" ht="15.75" hidden="1" customHeight="1">
      <c r="E736" s="578" t="s">
        <v>2872</v>
      </c>
      <c r="U736"/>
      <c r="V736"/>
      <c r="W736"/>
      <c r="X736"/>
      <c r="Y736"/>
      <c r="Z736"/>
      <c r="AA736"/>
      <c r="AB736"/>
      <c r="AC736"/>
      <c r="AD736"/>
    </row>
    <row r="737" spans="2:31" ht="15.75" hidden="1" customHeight="1">
      <c r="B737" s="190" t="s">
        <v>2870</v>
      </c>
      <c r="U737"/>
      <c r="V737"/>
      <c r="W737"/>
      <c r="X737"/>
      <c r="Y737"/>
      <c r="Z737"/>
      <c r="AA737"/>
      <c r="AB737"/>
      <c r="AC737"/>
      <c r="AD737"/>
    </row>
    <row r="738" spans="2:31" ht="15.75" hidden="1" customHeight="1">
      <c r="G738" s="96"/>
      <c r="V738"/>
      <c r="W738"/>
      <c r="X738"/>
      <c r="Y738"/>
      <c r="Z738"/>
      <c r="AA738"/>
      <c r="AB738"/>
      <c r="AC738"/>
      <c r="AD738"/>
      <c r="AE738"/>
    </row>
    <row r="739" spans="2:31" ht="15.75" hidden="1" customHeight="1">
      <c r="D739" s="978">
        <v>2021</v>
      </c>
      <c r="E739" s="562" t="s">
        <v>2078</v>
      </c>
      <c r="F739" s="562" t="s">
        <v>2268</v>
      </c>
      <c r="G739" s="562" t="s">
        <v>2269</v>
      </c>
      <c r="H739" s="562" t="s">
        <v>2270</v>
      </c>
      <c r="I739" s="562" t="s">
        <v>2271</v>
      </c>
      <c r="J739" s="562" t="s">
        <v>2853</v>
      </c>
      <c r="K739" s="562" t="s">
        <v>2272</v>
      </c>
      <c r="L739" s="562" t="s">
        <v>2852</v>
      </c>
      <c r="M739" s="562" t="s">
        <v>2854</v>
      </c>
      <c r="N739" s="562" t="s">
        <v>2855</v>
      </c>
      <c r="O739" s="562" t="s">
        <v>2983</v>
      </c>
      <c r="V739"/>
      <c r="W739"/>
      <c r="X739"/>
      <c r="Y739"/>
      <c r="Z739"/>
      <c r="AA739"/>
      <c r="AB739"/>
      <c r="AC739"/>
      <c r="AD739"/>
      <c r="AE739"/>
    </row>
    <row r="740" spans="2:31" ht="15.75" hidden="1" customHeight="1">
      <c r="D740" s="853" t="s">
        <v>2875</v>
      </c>
      <c r="E740" s="580" t="str">
        <f>E729</f>
        <v>Combustion System</v>
      </c>
      <c r="F740" s="580" t="str">
        <f>$E745</f>
        <v>Combustion System</v>
      </c>
      <c r="G740" s="580" t="str">
        <f>E746</f>
        <v>Heat Pump with Supplemental Heating</v>
      </c>
      <c r="H740" s="854" t="str">
        <f>$E$748</f>
        <v>Variable Refrigerant Heat Pump or Air-to-Water Heat Pump</v>
      </c>
      <c r="I740" s="854" t="str">
        <f>$E$748</f>
        <v>Variable Refrigerant Heat Pump or Air-to-Water Heat Pump</v>
      </c>
      <c r="J740" s="855" t="str">
        <f>E749</f>
        <v>Electric Resistance with Ductless Heat Pump OR electric resistance with max 2 kW installed capacity</v>
      </c>
      <c r="K740" s="854" t="str">
        <f>$E$748</f>
        <v>Variable Refrigerant Heat Pump or Air-to-Water Heat Pump</v>
      </c>
      <c r="L740" s="854" t="str">
        <f>$E$748</f>
        <v>Variable Refrigerant Heat Pump or Air-to-Water Heat Pump</v>
      </c>
      <c r="M740" s="854" t="str">
        <f>$E$748</f>
        <v>Variable Refrigerant Heat Pump or Air-to-Water Heat Pump</v>
      </c>
      <c r="N740" s="580" t="str">
        <f>$E745</f>
        <v>Combustion System</v>
      </c>
      <c r="O740" s="580" t="str">
        <f>$E745</f>
        <v>Combustion System</v>
      </c>
      <c r="V740"/>
      <c r="W740"/>
      <c r="X740"/>
      <c r="Y740"/>
      <c r="Z740"/>
      <c r="AA740"/>
      <c r="AB740"/>
      <c r="AC740"/>
      <c r="AD740"/>
      <c r="AE740"/>
    </row>
    <row r="741" spans="2:31" ht="15.75" hidden="1" customHeight="1">
      <c r="D741" s="11" t="s">
        <v>2876</v>
      </c>
      <c r="E741" s="580"/>
      <c r="F741" s="580"/>
      <c r="G741" s="580"/>
      <c r="H741" s="854" t="str">
        <f>$E$746</f>
        <v>Heat Pump with Supplemental Heating</v>
      </c>
      <c r="I741" s="854"/>
      <c r="J741" s="855"/>
      <c r="K741" s="854"/>
      <c r="L741" s="854"/>
      <c r="M741" s="854"/>
      <c r="N741" s="580"/>
      <c r="O741" s="580"/>
      <c r="V741"/>
      <c r="W741"/>
      <c r="X741"/>
      <c r="Y741"/>
      <c r="Z741"/>
      <c r="AA741"/>
      <c r="AB741"/>
      <c r="AC741"/>
      <c r="AD741"/>
      <c r="AE741"/>
    </row>
    <row r="742" spans="2:31" ht="15.75" hidden="1" customHeight="1">
      <c r="V742"/>
      <c r="W742"/>
      <c r="X742"/>
      <c r="Y742"/>
      <c r="Z742"/>
      <c r="AA742"/>
      <c r="AB742"/>
      <c r="AC742"/>
      <c r="AD742"/>
      <c r="AE742"/>
    </row>
    <row r="743" spans="2:31" ht="15.75" hidden="1" customHeight="1">
      <c r="V743"/>
      <c r="W743"/>
      <c r="X743"/>
      <c r="Y743"/>
      <c r="Z743"/>
      <c r="AA743"/>
      <c r="AB743"/>
      <c r="AC743"/>
      <c r="AD743"/>
      <c r="AE743"/>
    </row>
    <row r="744" spans="2:31" ht="15.75" hidden="1" customHeight="1">
      <c r="E744" s="848" t="str">
        <f>$K$399</f>
        <v>WSEC 2021</v>
      </c>
      <c r="F744" s="574" t="s">
        <v>2526</v>
      </c>
      <c r="G744" s="575"/>
      <c r="H744" s="575"/>
      <c r="I744" s="575"/>
      <c r="J744" s="576"/>
      <c r="K744" s="576"/>
      <c r="L744" s="576"/>
      <c r="M744" s="576"/>
      <c r="N744" s="11" t="s">
        <v>2527</v>
      </c>
      <c r="V744"/>
      <c r="W744"/>
      <c r="X744"/>
      <c r="Y744"/>
      <c r="Z744"/>
      <c r="AA744"/>
      <c r="AB744"/>
      <c r="AC744"/>
      <c r="AD744"/>
      <c r="AE744"/>
    </row>
    <row r="745" spans="2:31" ht="15.75" hidden="1" customHeight="1">
      <c r="D745" s="37">
        <v>1</v>
      </c>
      <c r="E745" s="565" t="s">
        <v>2999</v>
      </c>
      <c r="F745" s="581" t="str">
        <f>I728</f>
        <v>Option 3.1</v>
      </c>
      <c r="G745" s="581"/>
      <c r="H745" s="581"/>
      <c r="I745" s="581"/>
      <c r="J745" s="581"/>
      <c r="K745" s="581"/>
      <c r="L745" s="851" t="s">
        <v>2855</v>
      </c>
      <c r="M745" s="851" t="s">
        <v>2983</v>
      </c>
      <c r="N745" s="37">
        <f>IF(F$724=E745,IF(ISERROR(HLOOKUP(F$723,F745:M745,1,FALSE))=TRUE,1,0),0)</f>
        <v>0</v>
      </c>
    </row>
    <row r="746" spans="2:31" ht="15.75" hidden="1" customHeight="1">
      <c r="D746" s="37">
        <v>2</v>
      </c>
      <c r="E746" s="565" t="s">
        <v>2866</v>
      </c>
      <c r="F746" s="581" t="s">
        <v>2269</v>
      </c>
      <c r="G746" s="581" t="s">
        <v>2270</v>
      </c>
      <c r="H746" s="581"/>
      <c r="I746" s="851"/>
      <c r="J746" s="851"/>
      <c r="K746" s="851"/>
      <c r="L746" s="851"/>
      <c r="M746" s="851"/>
      <c r="N746" s="37">
        <f>IF(F$724=E746,IF(ISERROR(HLOOKUP(F$723,F746:M746,1,FALSE))=TRUE,1,0),0)</f>
        <v>0</v>
      </c>
    </row>
    <row r="747" spans="2:31" ht="15.75" hidden="1" customHeight="1">
      <c r="D747" s="37">
        <v>3</v>
      </c>
      <c r="E747" s="565" t="s">
        <v>2370</v>
      </c>
      <c r="F747" s="581"/>
      <c r="G747" s="581"/>
      <c r="H747" s="581"/>
      <c r="I747" s="581"/>
      <c r="J747" s="581"/>
      <c r="K747" s="581"/>
      <c r="L747" s="581"/>
      <c r="M747" s="581"/>
      <c r="N747" s="37">
        <f>IF(F$724=E747,IF(ISERROR(HLOOKUP(F$723,F747:M747,1,FALSE))=TRUE,1,0),0)</f>
        <v>0</v>
      </c>
    </row>
    <row r="748" spans="2:31" ht="28.5" hidden="1" customHeight="1">
      <c r="D748" s="37">
        <v>4</v>
      </c>
      <c r="E748" s="852" t="s">
        <v>3074</v>
      </c>
      <c r="F748" s="581" t="s">
        <v>2270</v>
      </c>
      <c r="G748" s="581" t="s">
        <v>2271</v>
      </c>
      <c r="H748" s="851" t="s">
        <v>2272</v>
      </c>
      <c r="I748" s="851" t="s">
        <v>2852</v>
      </c>
      <c r="J748" s="851" t="s">
        <v>2854</v>
      </c>
      <c r="K748" s="851"/>
      <c r="L748" s="851"/>
      <c r="M748" s="851"/>
      <c r="N748" s="37">
        <f>IF(F$724=E748,IF(ISERROR(HLOOKUP(F$723,F748:M748,1,FALSE))=TRUE,1,0),0)</f>
        <v>0</v>
      </c>
    </row>
    <row r="749" spans="2:31" ht="24.75" hidden="1" customHeight="1">
      <c r="D749" s="37">
        <v>5</v>
      </c>
      <c r="E749" s="565" t="s">
        <v>2994</v>
      </c>
      <c r="F749" s="851" t="s">
        <v>2853</v>
      </c>
      <c r="G749" s="581"/>
      <c r="H749" s="581"/>
      <c r="I749" s="581"/>
      <c r="J749" s="581"/>
      <c r="K749" s="581"/>
      <c r="L749" s="581"/>
      <c r="M749" s="581"/>
      <c r="N749" s="37">
        <f>IF(F$724=E749,IF(ISERROR(HLOOKUP(F$723,F749:M749,1,FALSE))=TRUE,1,0),0)</f>
        <v>0</v>
      </c>
    </row>
    <row r="750" spans="2:31" ht="15.75" hidden="1" customHeight="1">
      <c r="E750" s="37"/>
      <c r="F750" s="37"/>
      <c r="G750" s="37"/>
      <c r="H750" s="37"/>
      <c r="I750" s="37"/>
      <c r="J750" s="578"/>
      <c r="M750" s="578" t="s">
        <v>2869</v>
      </c>
      <c r="N750" s="579">
        <f>SUM(N745:N749)</f>
        <v>0</v>
      </c>
    </row>
    <row r="751" spans="2:31" ht="15.75" hidden="1" customHeight="1">
      <c r="F751" s="11" t="s">
        <v>2515</v>
      </c>
      <c r="G751" s="96" t="s">
        <v>2871</v>
      </c>
      <c r="H751" s="11" t="s">
        <v>2516</v>
      </c>
      <c r="I751" s="11" t="s">
        <v>2517</v>
      </c>
      <c r="J751" s="11" t="s">
        <v>2514</v>
      </c>
      <c r="L751" s="11" t="s">
        <v>2517</v>
      </c>
    </row>
    <row r="752" spans="2:31" ht="15.75" hidden="1" customHeight="1">
      <c r="D752" s="978">
        <v>2018</v>
      </c>
      <c r="E752" s="562" t="s">
        <v>2078</v>
      </c>
      <c r="F752" s="562" t="s">
        <v>2268</v>
      </c>
      <c r="G752" s="562" t="s">
        <v>2269</v>
      </c>
      <c r="H752" s="562" t="s">
        <v>2270</v>
      </c>
      <c r="I752" s="562" t="s">
        <v>2271</v>
      </c>
      <c r="J752" s="562" t="s">
        <v>2840</v>
      </c>
      <c r="K752" s="562" t="s">
        <v>2841</v>
      </c>
      <c r="L752" s="562" t="s">
        <v>2272</v>
      </c>
      <c r="M752" s="562"/>
      <c r="N752" s="562"/>
      <c r="O752" s="562"/>
    </row>
    <row r="753" spans="3:34" ht="15.75" hidden="1" customHeight="1">
      <c r="D753" s="853" t="s">
        <v>2875</v>
      </c>
      <c r="E753" s="580" t="str">
        <f>E740</f>
        <v>Combustion System</v>
      </c>
      <c r="F753" s="580" t="str">
        <f>E758</f>
        <v>Min Federal Efficiency System</v>
      </c>
      <c r="G753" s="580" t="str">
        <f>E759</f>
        <v>Heat Pump</v>
      </c>
      <c r="H753" s="854" t="str">
        <f>$E759</f>
        <v>Heat Pump</v>
      </c>
      <c r="I753" s="854" t="str">
        <f>E761</f>
        <v>Electric Resistance with Ductless Heat Pump</v>
      </c>
      <c r="J753" s="855" t="str">
        <f>E759</f>
        <v>Heat Pump</v>
      </c>
      <c r="K753" s="854" t="str">
        <f>E759</f>
        <v>Heat Pump</v>
      </c>
      <c r="L753" s="854" t="str">
        <f>E759</f>
        <v>Heat Pump</v>
      </c>
      <c r="M753" s="854"/>
      <c r="N753" s="854"/>
      <c r="O753" s="854"/>
    </row>
    <row r="754" spans="3:34" ht="15.75" hidden="1" customHeight="1">
      <c r="D754" s="11" t="s">
        <v>2876</v>
      </c>
      <c r="E754" s="580"/>
      <c r="F754" s="580"/>
      <c r="G754" s="580"/>
      <c r="H754" s="854"/>
      <c r="I754" s="854"/>
      <c r="J754" s="855"/>
      <c r="K754" s="854"/>
      <c r="L754" s="854"/>
      <c r="M754" s="854"/>
      <c r="N754" s="854"/>
      <c r="O754" s="854"/>
    </row>
    <row r="755" spans="3:34" ht="15.75" hidden="1" customHeight="1"/>
    <row r="756" spans="3:34" ht="15.75" hidden="1" customHeight="1"/>
    <row r="757" spans="3:34" ht="15.75" hidden="1" customHeight="1">
      <c r="E757" s="848" t="str">
        <f>$K$400</f>
        <v>WSEC 2018</v>
      </c>
      <c r="F757" s="574" t="s">
        <v>2526</v>
      </c>
      <c r="G757" s="575"/>
      <c r="H757" s="575"/>
      <c r="I757" s="575"/>
      <c r="J757" s="576"/>
      <c r="K757" s="576"/>
      <c r="L757" s="11" t="s">
        <v>2527</v>
      </c>
    </row>
    <row r="758" spans="3:34" ht="15.75" hidden="1" customHeight="1">
      <c r="D758" s="37">
        <v>1</v>
      </c>
      <c r="E758" s="565" t="s">
        <v>2977</v>
      </c>
      <c r="F758" s="581" t="s">
        <v>2268</v>
      </c>
      <c r="G758" s="581"/>
      <c r="H758" s="581"/>
      <c r="I758" s="581"/>
      <c r="J758" s="581"/>
      <c r="K758" s="581"/>
      <c r="L758" s="37">
        <f>IF(F$724=E758,IF(ISERROR(HLOOKUP(F$723,F758:K758,1,FALSE))=TRUE,1,0),0)</f>
        <v>0</v>
      </c>
    </row>
    <row r="759" spans="3:34" ht="15.75" hidden="1" customHeight="1">
      <c r="D759" s="37">
        <v>2</v>
      </c>
      <c r="E759" s="565" t="s">
        <v>2159</v>
      </c>
      <c r="F759" s="581" t="s">
        <v>2269</v>
      </c>
      <c r="G759" s="581" t="s">
        <v>2270</v>
      </c>
      <c r="H759" s="581" t="s">
        <v>2840</v>
      </c>
      <c r="I759" s="851" t="s">
        <v>2841</v>
      </c>
      <c r="J759" s="582" t="s">
        <v>2272</v>
      </c>
      <c r="K759" s="582"/>
      <c r="L759" s="37">
        <f>IF(F$724=E759,IF(ISERROR(HLOOKUP(F$723,F759:K759,1,FALSE))=TRUE,1,0),0)</f>
        <v>0</v>
      </c>
    </row>
    <row r="760" spans="3:34" ht="15.75" hidden="1" customHeight="1">
      <c r="D760" s="37">
        <v>3</v>
      </c>
      <c r="E760" s="565" t="s">
        <v>2370</v>
      </c>
      <c r="F760" s="581"/>
      <c r="G760" s="581"/>
      <c r="H760" s="581"/>
      <c r="I760" s="581"/>
      <c r="J760" s="581"/>
      <c r="K760" s="581"/>
      <c r="L760" s="37">
        <f>IF(F$724=E760,IF(ISERROR(HLOOKUP(F$723,F760:K760,1,FALSE))=TRUE,1,0),0)</f>
        <v>0</v>
      </c>
    </row>
    <row r="761" spans="3:34" ht="15.75" hidden="1" customHeight="1">
      <c r="D761" s="37">
        <v>4</v>
      </c>
      <c r="E761" s="565" t="s">
        <v>2371</v>
      </c>
      <c r="F761" s="581" t="s">
        <v>2271</v>
      </c>
      <c r="G761" s="581"/>
      <c r="H761" s="581"/>
      <c r="I761" s="581"/>
      <c r="J761" s="581"/>
      <c r="K761" s="581"/>
      <c r="L761" s="37">
        <f>IF(F$724=E761,IF(ISERROR(HLOOKUP(F$723,F761:K761,1,FALSE))=TRUE,1,0),0)</f>
        <v>0</v>
      </c>
    </row>
    <row r="762" spans="3:34" ht="15.75" hidden="1" customHeight="1">
      <c r="D762" s="37">
        <v>5</v>
      </c>
      <c r="E762" s="565" t="s">
        <v>2867</v>
      </c>
      <c r="F762" s="581"/>
      <c r="G762" s="581"/>
      <c r="H762" s="581"/>
      <c r="I762" s="581"/>
      <c r="J762" s="581"/>
      <c r="K762" s="581"/>
      <c r="L762" s="37">
        <f>IF(F$724=E762,IF(ISERROR(HLOOKUP(F$723,F762:K762,1,FALSE))=TRUE,1,0),0)</f>
        <v>0</v>
      </c>
    </row>
    <row r="763" spans="3:34" ht="15.75" hidden="1" customHeight="1">
      <c r="E763" s="37"/>
      <c r="F763" s="37"/>
      <c r="G763" s="37"/>
      <c r="H763" s="37"/>
      <c r="I763" s="37"/>
      <c r="K763" s="578" t="s">
        <v>2869</v>
      </c>
      <c r="L763" s="579">
        <f>SUM(L758:L762)</f>
        <v>0</v>
      </c>
    </row>
    <row r="764" spans="3:34" ht="15.75" hidden="1" customHeight="1"/>
    <row r="765" spans="3:34" ht="15.75" hidden="1" customHeight="1"/>
    <row r="766" spans="3:34" ht="15.75" hidden="1" customHeight="1"/>
    <row r="767" spans="3:34" ht="15.75" hidden="1" customHeight="1"/>
    <row r="768" spans="3:34" ht="15.75" hidden="1" customHeight="1">
      <c r="C768" s="827"/>
      <c r="D768" s="827"/>
      <c r="E768" s="1060">
        <v>2021</v>
      </c>
      <c r="F768" s="1060">
        <v>1</v>
      </c>
      <c r="G768" s="1060">
        <v>2</v>
      </c>
      <c r="H768" s="1060">
        <v>3</v>
      </c>
      <c r="I768" s="1060">
        <v>4</v>
      </c>
      <c r="J768" s="1060">
        <v>5</v>
      </c>
      <c r="K768" s="1060">
        <v>6</v>
      </c>
      <c r="L768" s="1060">
        <v>7</v>
      </c>
      <c r="M768" s="827"/>
      <c r="N768" s="827"/>
      <c r="O768" s="827"/>
      <c r="P768" s="827"/>
      <c r="Q768" s="827"/>
      <c r="R768" s="827"/>
      <c r="S768" s="827"/>
      <c r="T768" s="827"/>
      <c r="U768" s="827"/>
      <c r="V768" s="827"/>
      <c r="W768" s="827"/>
      <c r="X768" s="827"/>
      <c r="Y768" s="827"/>
      <c r="Z768" s="827"/>
      <c r="AA768" s="827"/>
      <c r="AB768" s="827"/>
      <c r="AC768" s="827"/>
      <c r="AD768" s="827"/>
      <c r="AE768" s="827"/>
      <c r="AF768" s="827"/>
      <c r="AG768" s="827"/>
      <c r="AH768" s="827"/>
    </row>
    <row r="769" spans="6:14" ht="15.75" hidden="1" customHeight="1">
      <c r="F769" s="40"/>
      <c r="G769" s="40"/>
      <c r="I769" s="400" t="s">
        <v>3216</v>
      </c>
      <c r="J769" s="383"/>
      <c r="K769" s="400" t="s">
        <v>3217</v>
      </c>
      <c r="L769" s="383"/>
      <c r="M769" s="190" t="s">
        <v>3215</v>
      </c>
      <c r="N769" s="190"/>
    </row>
    <row r="770" spans="6:14" ht="15.75" hidden="1" customHeight="1">
      <c r="F770" s="96" t="s">
        <v>2851</v>
      </c>
      <c r="G770" s="96" t="str">
        <f>MenuItem_WSEC2018</f>
        <v>WSEC 2018</v>
      </c>
      <c r="H770" s="96" t="s">
        <v>3219</v>
      </c>
      <c r="I770" s="379" t="s">
        <v>2887</v>
      </c>
      <c r="J770" s="1062" t="s">
        <v>2888</v>
      </c>
      <c r="K770" s="379" t="s">
        <v>2887</v>
      </c>
      <c r="L770" s="1062" t="s">
        <v>2888</v>
      </c>
      <c r="M770" s="37">
        <v>2018</v>
      </c>
      <c r="N770" s="37">
        <v>2021</v>
      </c>
    </row>
    <row r="771" spans="6:14" ht="15.75" hidden="1" customHeight="1">
      <c r="F771" s="161"/>
      <c r="G771" s="161" t="s">
        <v>2252</v>
      </c>
      <c r="H771" s="1061">
        <v>0.05</v>
      </c>
      <c r="I771" s="161" t="str">
        <f>IF($N$165&lt;=M771,"Window U-value meets selected Option 1.1","Window U-value does NOT meet selected Option 1.1. ")</f>
        <v xml:space="preserve">Window U-value does NOT meet selected Option 1.1. </v>
      </c>
      <c r="J771" s="865"/>
      <c r="K771" s="76" t="str">
        <f>IF($N$165&lt;=M771,"","Window U-value does NOT meet selected Option 1.1. ")</f>
        <v xml:space="preserve">Window U-value does NOT meet selected Option 1.1. </v>
      </c>
      <c r="L771" s="865"/>
      <c r="M771" s="1063">
        <v>0.24</v>
      </c>
      <c r="N771" s="581">
        <v>0.22</v>
      </c>
    </row>
    <row r="772" spans="6:14" ht="15.75" hidden="1" customHeight="1">
      <c r="F772" s="161" t="s">
        <v>2252</v>
      </c>
      <c r="G772" s="161" t="s">
        <v>2253</v>
      </c>
      <c r="H772" s="1061"/>
      <c r="I772" s="76" t="str">
        <f>IF($N$165&lt;=N771,"Window U-value meets selected Option 1.2","")</f>
        <v/>
      </c>
      <c r="J772" s="865" t="str">
        <f>IF($N$165&lt;=N771,"Window U-value meets selected Option 1.1","Window U-value does NOT meet selected Option 1.1. ")</f>
        <v xml:space="preserve">Window U-value does NOT meet selected Option 1.1. </v>
      </c>
      <c r="K772" s="76" t="str">
        <f>IF($N$165&lt;=N771,"Window U-value meets selected Option 1.2","")</f>
        <v/>
      </c>
      <c r="L772" s="865" t="str">
        <f>IF($N$165&lt;=N771,"","Window U-value does NOT meet selected Option 1.1. ")</f>
        <v xml:space="preserve">Window U-value does NOT meet selected Option 1.1. </v>
      </c>
    </row>
    <row r="773" spans="6:14" ht="15.75" hidden="1" customHeight="1">
      <c r="F773" s="196"/>
      <c r="G773" s="161" t="s">
        <v>2254</v>
      </c>
      <c r="H773" s="602">
        <v>0.05</v>
      </c>
    </row>
    <row r="774" spans="6:14" ht="15.75" hidden="1" customHeight="1">
      <c r="F774" s="196" t="s">
        <v>2253</v>
      </c>
      <c r="G774" s="161" t="s">
        <v>2255</v>
      </c>
      <c r="H774" s="602">
        <v>0.15</v>
      </c>
    </row>
    <row r="775" spans="6:14" ht="15.75" hidden="1" customHeight="1">
      <c r="F775" s="161" t="s">
        <v>2254</v>
      </c>
      <c r="G775" s="161"/>
      <c r="H775" s="602">
        <v>0.22500000000000001</v>
      </c>
    </row>
    <row r="776" spans="6:14" ht="15.75" hidden="1" customHeight="1">
      <c r="F776" s="161" t="s">
        <v>2255</v>
      </c>
      <c r="G776" s="161" t="s">
        <v>2256</v>
      </c>
      <c r="H776" s="602">
        <v>0.3</v>
      </c>
    </row>
    <row r="777" spans="6:14" ht="15.75" hidden="1" customHeight="1">
      <c r="F777" s="161"/>
      <c r="G777" s="161" t="s">
        <v>2094</v>
      </c>
      <c r="H777" s="602">
        <v>0.4</v>
      </c>
    </row>
    <row r="778" spans="6:14" ht="15.75" hidden="1" customHeight="1">
      <c r="F778" s="601" t="s">
        <v>2258</v>
      </c>
      <c r="G778" s="11" t="str">
        <f>Menu_CodeVersion</f>
        <v>WSEC 2021</v>
      </c>
    </row>
    <row r="779" spans="6:14" ht="15.75" hidden="1" customHeight="1">
      <c r="F779" s="600" t="str">
        <f>Menu_Option1</f>
        <v>Not Selected</v>
      </c>
      <c r="G779" s="1033">
        <f>ROUND(N41*100,0)/100</f>
        <v>0.04</v>
      </c>
      <c r="H779" s="96" t="s">
        <v>3173</v>
      </c>
    </row>
    <row r="780" spans="6:14" ht="15.75" hidden="1" customHeight="1">
      <c r="F780" s="40" t="s">
        <v>2546</v>
      </c>
      <c r="G780" s="863">
        <f>IFERROR(IF(Menu_CodeVersion=MenuItem_WSEC2018,VLOOKUP(F779,G771:J777,2,FALSE),VLOOKUP(F779,F771:J777,3,FALSE)),0)</f>
        <v>0</v>
      </c>
    </row>
    <row r="781" spans="6:14" ht="15.75" hidden="1" customHeight="1">
      <c r="F781" s="40" t="s">
        <v>2889</v>
      </c>
      <c r="G781" s="864" t="str">
        <f>IFERROR(IF(Menu_CodeVersion=MenuItem_WSEC2018,VLOOKUP(F779,G771:L777,3,FALSE),VLOOKUP(F779,F771:L777,5,FALSE)),"")</f>
        <v/>
      </c>
      <c r="H781" s="864" t="str">
        <f>IFERROR(IF(Menu_CodeVersion=MenuItem_WSEC2018,VLOOKUP(F779,G771:L777,5,FALSE),VLOOKUP(F779,F771:L777,7,FALSE)),"")</f>
        <v/>
      </c>
    </row>
    <row r="782" spans="6:14" ht="15.75" hidden="1" customHeight="1">
      <c r="F782" s="40" t="s">
        <v>2890</v>
      </c>
      <c r="G782" s="864" t="str">
        <f>IF(G780=0,"",IF(AND(G780&gt;0,G779&gt;=G780),CONCATENATE(" UA reduction meets percent target of selected ",F779),CONCATENATE(" UA reduction does NOT meet percent target of selected ",F779)))</f>
        <v/>
      </c>
    </row>
    <row r="783" spans="6:14" ht="15.75" hidden="1" customHeight="1">
      <c r="F783" s="40" t="s">
        <v>2704</v>
      </c>
      <c r="G783" s="861" t="str">
        <f>IF(G781&lt;&gt;0,CONCATENATE(G781,G782),G782)</f>
        <v/>
      </c>
    </row>
    <row r="784" spans="6:14" ht="15.75" hidden="1" customHeight="1">
      <c r="F784" s="40" t="s">
        <v>2821</v>
      </c>
      <c r="G784" s="862" t="s">
        <v>2077</v>
      </c>
    </row>
    <row r="785" spans="1:34" ht="15.75" hidden="1" customHeight="1">
      <c r="F785" s="40" t="s">
        <v>3218</v>
      </c>
      <c r="G785" s="776" t="str">
        <f>IF(Menu_UseOfCalculator=MenuItem_NonDwellingUnit,"-",IF(AND(Menu_ProjectType=Item_ProjectType_Addition,Menu_UseOfCalculator=MenuItem_UserDefinedBaseline),G784,G783))</f>
        <v/>
      </c>
    </row>
    <row r="786" spans="1:34" ht="15.75" hidden="1" customHeight="1">
      <c r="F786" s="40" t="s">
        <v>3176</v>
      </c>
      <c r="G786" s="776" t="str">
        <f>IF(OR(F779="Not Selected",F779=""),"",IF(Menu_Option1="Option 1.1",H781,IF(AND(G780&gt;0,G779&gt;=G780),"",CONCATENATE(" UA reduction does NOT meet percent target of selected ",F779))))</f>
        <v/>
      </c>
    </row>
    <row r="787" spans="1:34" ht="15.75" hidden="1" customHeight="1">
      <c r="F787" s="40" t="s">
        <v>3211</v>
      </c>
      <c r="G787" s="776" t="str">
        <f>IF(OR(F779="Not Selected",F779=""),"PASS",IF(G780=0,"",IF(AND(G780&gt;0,G779&gt;=G780),"PASS","FAIL")))</f>
        <v>PASS</v>
      </c>
    </row>
    <row r="788" spans="1:34" ht="15.75" hidden="1" customHeight="1">
      <c r="F788" s="40" t="s">
        <v>3212</v>
      </c>
      <c r="G788" s="776" t="str">
        <f>IF(G786&lt;&gt;"","FAIL","PASS")</f>
        <v>PASS</v>
      </c>
    </row>
    <row r="789" spans="1:34" ht="15.75" hidden="1" customHeight="1">
      <c r="A789" s="670"/>
      <c r="B789" s="670"/>
      <c r="C789" s="670"/>
      <c r="D789" s="672" t="s">
        <v>2696</v>
      </c>
      <c r="E789" s="670"/>
      <c r="F789" s="671"/>
      <c r="G789" s="670"/>
      <c r="H789" s="670"/>
      <c r="I789" s="670"/>
      <c r="J789" s="670"/>
      <c r="K789" s="670"/>
      <c r="L789" s="670"/>
      <c r="M789" s="670"/>
      <c r="N789" s="670"/>
      <c r="O789" s="670"/>
      <c r="P789" s="670"/>
      <c r="Q789" s="670"/>
      <c r="R789" s="670"/>
      <c r="S789" s="670"/>
      <c r="T789" s="670"/>
      <c r="U789" s="670"/>
      <c r="V789" s="670"/>
      <c r="W789" s="670"/>
      <c r="X789" s="670"/>
      <c r="Y789" s="670"/>
      <c r="Z789" s="670"/>
      <c r="AA789" s="670"/>
      <c r="AB789" s="670"/>
      <c r="AC789" s="670"/>
      <c r="AD789" s="670"/>
      <c r="AE789" s="670"/>
      <c r="AF789" s="670"/>
      <c r="AG789" s="670"/>
      <c r="AH789" s="670"/>
    </row>
    <row r="790" spans="1:34" ht="15.75" hidden="1" customHeight="1">
      <c r="F790" s="96"/>
    </row>
    <row r="791" spans="1:34" ht="15.75" hidden="1" customHeight="1">
      <c r="C791"/>
      <c r="D791"/>
      <c r="E791"/>
      <c r="F791"/>
      <c r="G791"/>
      <c r="H791" t="s">
        <v>2691</v>
      </c>
      <c r="I791" t="s">
        <v>2692</v>
      </c>
      <c r="J791"/>
      <c r="K791"/>
      <c r="L791"/>
      <c r="M791"/>
      <c r="N791"/>
      <c r="O791"/>
    </row>
    <row r="792" spans="1:34" ht="15.75" hidden="1" customHeight="1">
      <c r="C792"/>
      <c r="D792"/>
      <c r="E792" s="669" t="str">
        <f>'Group R'!N399</f>
        <v>R2 Multifamily</v>
      </c>
      <c r="F792" s="653" t="s">
        <v>2688</v>
      </c>
      <c r="G792" s="653" t="s">
        <v>2689</v>
      </c>
      <c r="H792" s="667">
        <f ca="1">F816</f>
        <v>100</v>
      </c>
      <c r="I792" s="667">
        <f ca="1">F818</f>
        <v>125</v>
      </c>
      <c r="J792"/>
      <c r="K792"/>
      <c r="L792"/>
      <c r="M792"/>
      <c r="N792"/>
      <c r="O792"/>
    </row>
    <row r="793" spans="1:34" ht="15.75" hidden="1" customHeight="1">
      <c r="C793"/>
      <c r="D793"/>
      <c r="E793" s="669" t="str">
        <f>'Group R'!N400</f>
        <v>R3 Single family dwellings and townhouses</v>
      </c>
      <c r="F793" s="653" t="s">
        <v>2687</v>
      </c>
      <c r="G793" s="653" t="s">
        <v>2690</v>
      </c>
      <c r="H793" s="667">
        <f ca="1">F839</f>
        <v>55</v>
      </c>
      <c r="I793" s="667">
        <f ca="1">F841</f>
        <v>68.75</v>
      </c>
      <c r="K793"/>
      <c r="L793"/>
      <c r="M793"/>
      <c r="N793"/>
      <c r="O793"/>
    </row>
    <row r="794" spans="1:34" ht="15.75" hidden="1" customHeight="1">
      <c r="C794"/>
      <c r="D794"/>
      <c r="E794"/>
      <c r="M794"/>
      <c r="N794"/>
      <c r="O794"/>
    </row>
    <row r="795" spans="1:34" ht="15.75" hidden="1" customHeight="1">
      <c r="C795"/>
      <c r="D795"/>
      <c r="E795" s="678" t="s">
        <v>2700</v>
      </c>
      <c r="F795" s="656" t="str">
        <f>IF(F19="","Enter Occupancy",F19)</f>
        <v>R2 Multifamily</v>
      </c>
      <c r="G795"/>
      <c r="M795"/>
      <c r="N795"/>
      <c r="O795"/>
    </row>
    <row r="796" spans="1:34" ht="15.75" hidden="1" customHeight="1">
      <c r="C796"/>
      <c r="D796"/>
      <c r="E796" t="s">
        <v>2686</v>
      </c>
      <c r="F796" t="str">
        <f>IFERROR(VLOOKUP(F$795,$E$792:$I$793,2,FALSE),F793)</f>
        <v>IMC</v>
      </c>
      <c r="G796"/>
      <c r="M796"/>
      <c r="N796"/>
      <c r="O796"/>
    </row>
    <row r="797" spans="1:34" ht="15.75" hidden="1" customHeight="1">
      <c r="C797"/>
      <c r="D797"/>
      <c r="E797" t="s">
        <v>2693</v>
      </c>
      <c r="F797" t="str">
        <f>IFERROR(VLOOKUP(F$795,$E$792:$I$793,3,FALSE),G793)</f>
        <v>Section 403</v>
      </c>
      <c r="G797"/>
      <c r="H797"/>
      <c r="I797"/>
      <c r="J797"/>
      <c r="K797"/>
      <c r="L797"/>
      <c r="M797"/>
      <c r="N797"/>
      <c r="O797"/>
    </row>
    <row r="798" spans="1:34" ht="15.75" hidden="1" customHeight="1">
      <c r="C798"/>
      <c r="D798"/>
      <c r="E798" t="s">
        <v>2694</v>
      </c>
      <c r="F798" s="666">
        <f ca="1">VLOOKUP(F$795,$E$792:$I$793,5,FALSE)</f>
        <v>125</v>
      </c>
      <c r="G798"/>
      <c r="H798"/>
      <c r="I798"/>
      <c r="J798"/>
      <c r="K798"/>
      <c r="L798"/>
      <c r="M798"/>
      <c r="N798"/>
      <c r="O798"/>
    </row>
    <row r="799" spans="1:34" ht="15.75" hidden="1" customHeight="1">
      <c r="C799"/>
      <c r="D799"/>
      <c r="E799"/>
      <c r="F799"/>
      <c r="G799"/>
      <c r="H799"/>
      <c r="I799"/>
      <c r="J799"/>
      <c r="K799"/>
      <c r="L799"/>
      <c r="M799"/>
      <c r="N799"/>
      <c r="O799"/>
    </row>
    <row r="800" spans="1:34" ht="15.75" hidden="1" customHeight="1">
      <c r="C800"/>
      <c r="D800"/>
      <c r="E800"/>
      <c r="F800"/>
      <c r="G800"/>
      <c r="H800"/>
      <c r="I800"/>
      <c r="J800"/>
      <c r="K800"/>
      <c r="L800"/>
      <c r="M800"/>
      <c r="N800"/>
      <c r="O800"/>
    </row>
    <row r="801" spans="3:15" ht="15.75" hidden="1" customHeight="1">
      <c r="C801"/>
      <c r="D801"/>
      <c r="E801"/>
      <c r="F801"/>
      <c r="G801"/>
      <c r="H801"/>
      <c r="I801"/>
      <c r="J801"/>
      <c r="K801"/>
      <c r="L801"/>
      <c r="M801"/>
      <c r="N801"/>
      <c r="O801"/>
    </row>
    <row r="802" spans="3:15" ht="15.75" hidden="1" customHeight="1">
      <c r="C802"/>
      <c r="D802"/>
      <c r="E802"/>
      <c r="F802"/>
      <c r="G802"/>
      <c r="H802"/>
      <c r="I802"/>
      <c r="J802"/>
      <c r="K802"/>
      <c r="L802"/>
      <c r="M802"/>
      <c r="N802"/>
      <c r="O802"/>
    </row>
    <row r="803" spans="3:15" ht="15.75" hidden="1" customHeight="1">
      <c r="C803"/>
      <c r="D803"/>
      <c r="E803" s="662" t="s">
        <v>2678</v>
      </c>
      <c r="F803" s="765" t="str">
        <f>IF(Menu_CodeVersion="WSEC 2015",25%,"")</f>
        <v/>
      </c>
      <c r="G803" s="765" t="str">
        <f>IF(Menu_CodeVersion="WSEC 2015",33%,"")</f>
        <v/>
      </c>
      <c r="H803" s="663">
        <v>0.5</v>
      </c>
      <c r="I803" s="663">
        <v>0.66</v>
      </c>
      <c r="J803" s="663">
        <v>0.75</v>
      </c>
      <c r="K803" s="663">
        <v>1</v>
      </c>
      <c r="L803"/>
      <c r="M803"/>
      <c r="N803"/>
      <c r="O803"/>
    </row>
    <row r="804" spans="3:15" ht="15.75" hidden="1" customHeight="1">
      <c r="C804"/>
      <c r="D804"/>
      <c r="E804" s="653"/>
      <c r="F804" s="766" t="str">
        <f>IF(Menu_CodeVersion="WSEC 2015",4,"")</f>
        <v/>
      </c>
      <c r="G804" s="766" t="str">
        <f>IF(Menu_CodeVersion="WSEC 2015",3,"")</f>
        <v/>
      </c>
      <c r="H804" s="653">
        <v>2</v>
      </c>
      <c r="I804" s="653">
        <v>1.5</v>
      </c>
      <c r="J804" s="653">
        <v>1.3</v>
      </c>
      <c r="K804" s="653">
        <v>1</v>
      </c>
      <c r="L804"/>
      <c r="M804"/>
      <c r="N804"/>
      <c r="O804"/>
    </row>
    <row r="805" spans="3:15" ht="15.75" hidden="1" customHeight="1">
      <c r="C805"/>
      <c r="D805"/>
      <c r="E805" s="662" t="s">
        <v>2684</v>
      </c>
      <c r="F805" s="667">
        <f>HLOOKUP(F809,F803:K804,2,FALSE)</f>
        <v>1</v>
      </c>
      <c r="G805"/>
      <c r="H805"/>
      <c r="I805"/>
      <c r="J805"/>
      <c r="K805"/>
      <c r="L805"/>
      <c r="M805"/>
      <c r="N805"/>
      <c r="O805"/>
    </row>
    <row r="806" spans="3:15" ht="15.75" hidden="1" customHeight="1">
      <c r="C806"/>
      <c r="D806"/>
      <c r="E806" s="94"/>
      <c r="F806"/>
      <c r="G806"/>
      <c r="H806"/>
      <c r="I806"/>
      <c r="J806"/>
      <c r="K806"/>
      <c r="L806"/>
      <c r="M806"/>
      <c r="N806"/>
      <c r="O806"/>
    </row>
    <row r="807" spans="3:15" ht="15.75" hidden="1" customHeight="1">
      <c r="C807"/>
      <c r="D807"/>
      <c r="E807" s="678" t="s">
        <v>2701</v>
      </c>
      <c r="F807" s="658">
        <f>IF(H65="","Enter Area",H65)</f>
        <v>2100</v>
      </c>
      <c r="G807"/>
      <c r="H807"/>
      <c r="I807"/>
      <c r="J807"/>
      <c r="K807"/>
      <c r="L807"/>
      <c r="M807"/>
      <c r="N807"/>
      <c r="O807"/>
    </row>
    <row r="808" spans="3:15" ht="15.75" hidden="1" customHeight="1">
      <c r="C808"/>
      <c r="D808"/>
      <c r="E808" s="656" t="str">
        <f>'Group R'!E243</f>
        <v xml:space="preserve">Number of Bedrooms </v>
      </c>
      <c r="F808" s="658">
        <f>IF('Group R'!F243="","Enter Bedroom",F243)</f>
        <v>3</v>
      </c>
      <c r="G808"/>
      <c r="H808"/>
      <c r="I808"/>
      <c r="J808"/>
      <c r="K808"/>
      <c r="L808"/>
      <c r="M808"/>
      <c r="N808"/>
      <c r="O808"/>
    </row>
    <row r="809" spans="3:15" ht="15.75" hidden="1" customHeight="1">
      <c r="C809"/>
      <c r="D809"/>
      <c r="E809" s="656" t="str">
        <f>'Group R'!E244</f>
        <v>Run-Time Percent in Each 4-Hour Segment</v>
      </c>
      <c r="F809" s="664">
        <f>'Group R'!F244</f>
        <v>1</v>
      </c>
      <c r="G809"/>
      <c r="H809"/>
      <c r="I809"/>
      <c r="J809"/>
      <c r="K809"/>
      <c r="L809"/>
      <c r="M809"/>
      <c r="N809"/>
      <c r="O809"/>
    </row>
    <row r="810" spans="3:15" ht="15.75" hidden="1" customHeight="1">
      <c r="C810"/>
      <c r="D810"/>
      <c r="E810"/>
      <c r="F810"/>
      <c r="G810"/>
      <c r="H810"/>
      <c r="I810"/>
      <c r="J810"/>
      <c r="K810"/>
      <c r="L810"/>
      <c r="M810"/>
      <c r="N810"/>
      <c r="O810"/>
    </row>
    <row r="811" spans="3:15" ht="15.75" hidden="1" customHeight="1">
      <c r="C811"/>
      <c r="D811"/>
      <c r="E811"/>
      <c r="F811"/>
      <c r="G811"/>
      <c r="H811"/>
      <c r="I811"/>
      <c r="J811"/>
      <c r="K811"/>
      <c r="L811"/>
      <c r="M811"/>
      <c r="N811"/>
      <c r="O811"/>
    </row>
    <row r="812" spans="3:15" ht="15.75" hidden="1" customHeight="1">
      <c r="C812" s="673"/>
      <c r="D812" s="675" t="s">
        <v>2671</v>
      </c>
      <c r="E812" s="673"/>
      <c r="F812" s="673"/>
      <c r="G812" s="673"/>
      <c r="H812" s="673"/>
      <c r="I812" s="673"/>
      <c r="J812" s="673"/>
      <c r="K812" s="673"/>
      <c r="L812" s="673"/>
      <c r="M812" s="673"/>
      <c r="N812" s="673"/>
      <c r="O812" s="673"/>
    </row>
    <row r="813" spans="3:15" ht="15.75" hidden="1" customHeight="1">
      <c r="C813"/>
      <c r="D813"/>
      <c r="E813" s="764" t="s">
        <v>2683</v>
      </c>
      <c r="F813"/>
      <c r="G813"/>
      <c r="H813"/>
      <c r="I813"/>
      <c r="J813"/>
      <c r="K813"/>
      <c r="L813"/>
      <c r="M813"/>
      <c r="N813"/>
      <c r="O813"/>
    </row>
    <row r="814" spans="3:15" ht="15.75" hidden="1" customHeight="1">
      <c r="C814"/>
      <c r="D814"/>
      <c r="E814" s="662" t="s">
        <v>2677</v>
      </c>
      <c r="F814" s="653">
        <f>IF(F808="Enter Bedroom",F808,SUM(F834:J834))</f>
        <v>2</v>
      </c>
      <c r="G814"/>
      <c r="H814"/>
      <c r="I814"/>
      <c r="J814"/>
      <c r="K814"/>
      <c r="L814"/>
      <c r="M814"/>
      <c r="N814"/>
      <c r="O814"/>
    </row>
    <row r="815" spans="3:15" ht="15.75" hidden="1" customHeight="1">
      <c r="C815"/>
      <c r="D815"/>
      <c r="E815" s="662" t="s">
        <v>2676</v>
      </c>
      <c r="F815" s="653">
        <f>IF(F807="Enter Area",F807,SUM(K826:K833))</f>
        <v>5</v>
      </c>
      <c r="G815"/>
      <c r="H815"/>
      <c r="I815"/>
      <c r="J815"/>
      <c r="K815"/>
      <c r="L815"/>
      <c r="M815"/>
      <c r="N815"/>
      <c r="O815"/>
    </row>
    <row r="816" spans="3:15" ht="15.75" hidden="1" customHeight="1">
      <c r="C816"/>
      <c r="D816"/>
      <c r="E816" s="662" t="s">
        <v>2679</v>
      </c>
      <c r="F816" s="668">
        <f ca="1">OFFSET(E825,F815,F814)</f>
        <v>100</v>
      </c>
      <c r="G816"/>
      <c r="H816"/>
      <c r="I816"/>
      <c r="J816"/>
      <c r="K816"/>
      <c r="L816"/>
      <c r="M816"/>
      <c r="N816"/>
      <c r="O816"/>
    </row>
    <row r="817" spans="3:15" ht="15.75" hidden="1" customHeight="1">
      <c r="C817"/>
      <c r="D817"/>
      <c r="E817" s="662" t="s">
        <v>2769</v>
      </c>
      <c r="F817" s="668">
        <f>F873</f>
        <v>1.25</v>
      </c>
      <c r="G817"/>
      <c r="H817"/>
      <c r="I817"/>
      <c r="J817"/>
      <c r="K817"/>
      <c r="L817"/>
      <c r="M817"/>
      <c r="N817"/>
      <c r="O817"/>
    </row>
    <row r="818" spans="3:15" ht="15.75" hidden="1" customHeight="1">
      <c r="C818"/>
      <c r="D818"/>
      <c r="E818" s="662" t="s">
        <v>2680</v>
      </c>
      <c r="F818" s="665">
        <f ca="1">IFERROR(F816*F805*F817,"Error")</f>
        <v>125</v>
      </c>
      <c r="G818"/>
      <c r="H818"/>
      <c r="I818"/>
      <c r="J818"/>
      <c r="K818"/>
      <c r="L818"/>
      <c r="M818"/>
      <c r="N818"/>
      <c r="O818"/>
    </row>
    <row r="819" spans="3:15" ht="15.75" hidden="1" customHeight="1">
      <c r="C819"/>
      <c r="D819"/>
      <c r="E819"/>
      <c r="F819"/>
      <c r="G819"/>
      <c r="H819"/>
      <c r="I819"/>
      <c r="J819"/>
      <c r="K819"/>
      <c r="L819"/>
      <c r="M819"/>
      <c r="N819"/>
      <c r="O819"/>
    </row>
    <row r="820" spans="3:15" ht="15.75" hidden="1" customHeight="1">
      <c r="C820"/>
      <c r="D820"/>
      <c r="E820" s="94"/>
      <c r="F820"/>
      <c r="G820"/>
      <c r="H820"/>
      <c r="I820"/>
      <c r="J820"/>
      <c r="K820"/>
      <c r="L820"/>
      <c r="M820"/>
      <c r="N820"/>
      <c r="O820"/>
    </row>
    <row r="821" spans="3:15" ht="15.75" hidden="1" customHeight="1">
      <c r="C821"/>
      <c r="D821"/>
      <c r="E821" s="94"/>
      <c r="F821"/>
      <c r="G821"/>
      <c r="H821"/>
      <c r="I821"/>
      <c r="J821"/>
      <c r="K821"/>
      <c r="L821"/>
      <c r="M821"/>
      <c r="N821"/>
      <c r="O821"/>
    </row>
    <row r="822" spans="3:15" ht="15.75" hidden="1" customHeight="1">
      <c r="C822"/>
      <c r="D822"/>
      <c r="E822"/>
      <c r="F822" s="653">
        <v>1</v>
      </c>
      <c r="G822" s="653">
        <f>F822+1</f>
        <v>2</v>
      </c>
      <c r="H822" s="653">
        <f>G822+1</f>
        <v>3</v>
      </c>
      <c r="I822" s="653">
        <f>H822+1</f>
        <v>4</v>
      </c>
      <c r="J822" s="653">
        <f>I822+1</f>
        <v>5</v>
      </c>
      <c r="K822"/>
      <c r="L822"/>
      <c r="M822"/>
      <c r="N822"/>
      <c r="O822"/>
    </row>
    <row r="823" spans="3:15" ht="15.75" hidden="1" customHeight="1">
      <c r="C823"/>
      <c r="D823" s="676" t="s">
        <v>2671</v>
      </c>
      <c r="E823"/>
      <c r="F823"/>
      <c r="G823"/>
      <c r="H823"/>
      <c r="I823"/>
      <c r="J823"/>
      <c r="K823" s="94" t="s">
        <v>2675</v>
      </c>
      <c r="L823"/>
      <c r="M823"/>
      <c r="N823"/>
      <c r="O823"/>
    </row>
    <row r="824" spans="3:15" ht="15.75" hidden="1" customHeight="1">
      <c r="C824"/>
      <c r="D824" s="654"/>
      <c r="E824" s="654"/>
      <c r="F824" s="654">
        <v>0</v>
      </c>
      <c r="G824" s="654">
        <v>2</v>
      </c>
      <c r="H824" s="654">
        <v>4</v>
      </c>
      <c r="I824" s="654">
        <v>6</v>
      </c>
      <c r="J824" s="654">
        <v>8</v>
      </c>
      <c r="K824"/>
      <c r="L824"/>
      <c r="M824"/>
      <c r="N824"/>
      <c r="O824" s="94" t="s">
        <v>2685</v>
      </c>
    </row>
    <row r="825" spans="3:15" ht="15.75" hidden="1" customHeight="1">
      <c r="C825"/>
      <c r="D825" s="660" t="s">
        <v>2681</v>
      </c>
      <c r="E825" s="661" t="s">
        <v>2682</v>
      </c>
      <c r="F825" s="655">
        <v>1</v>
      </c>
      <c r="G825" s="654">
        <v>3</v>
      </c>
      <c r="H825" s="654">
        <v>5</v>
      </c>
      <c r="I825" s="654">
        <v>7</v>
      </c>
      <c r="J825" s="654"/>
      <c r="K825"/>
      <c r="L825"/>
      <c r="M825"/>
      <c r="N825"/>
      <c r="O825"/>
    </row>
    <row r="826" spans="3:15" ht="15.75" hidden="1" customHeight="1">
      <c r="C826">
        <f t="shared" ref="C826:C833" si="138">C825+1</f>
        <v>1</v>
      </c>
      <c r="D826" s="654">
        <v>0</v>
      </c>
      <c r="E826" s="654">
        <v>500</v>
      </c>
      <c r="F826" s="653">
        <v>30</v>
      </c>
      <c r="G826" s="653">
        <v>40</v>
      </c>
      <c r="H826" s="653">
        <v>45</v>
      </c>
      <c r="I826" s="653">
        <v>55</v>
      </c>
      <c r="J826" s="653">
        <v>60</v>
      </c>
      <c r="K826">
        <f t="shared" ref="K826:K833" si="139">IF(AND($F$807&gt;D826,$F$807&lt;=E826),C826,0)</f>
        <v>0</v>
      </c>
      <c r="L826"/>
      <c r="M826"/>
      <c r="N826"/>
      <c r="O826"/>
    </row>
    <row r="827" spans="3:15" ht="15.75" hidden="1" customHeight="1">
      <c r="C827">
        <f t="shared" si="138"/>
        <v>2</v>
      </c>
      <c r="D827" s="654">
        <f t="shared" ref="D827:D833" si="140">E826</f>
        <v>500</v>
      </c>
      <c r="E827" s="654">
        <f t="shared" ref="E827:E832" si="141">E826+500</f>
        <v>1000</v>
      </c>
      <c r="F827" s="653">
        <v>45</v>
      </c>
      <c r="G827" s="653">
        <v>55</v>
      </c>
      <c r="H827" s="653">
        <v>60</v>
      </c>
      <c r="I827" s="653">
        <v>70</v>
      </c>
      <c r="J827" s="653">
        <v>75</v>
      </c>
      <c r="K827">
        <f t="shared" si="139"/>
        <v>0</v>
      </c>
      <c r="L827"/>
      <c r="M827"/>
      <c r="N827"/>
      <c r="O827"/>
    </row>
    <row r="828" spans="3:15" ht="15.75" hidden="1" customHeight="1">
      <c r="C828">
        <f t="shared" si="138"/>
        <v>3</v>
      </c>
      <c r="D828" s="654">
        <f t="shared" si="140"/>
        <v>1000</v>
      </c>
      <c r="E828" s="654">
        <f t="shared" si="141"/>
        <v>1500</v>
      </c>
      <c r="F828" s="653">
        <v>60</v>
      </c>
      <c r="G828" s="653">
        <v>70</v>
      </c>
      <c r="H828" s="653">
        <v>75</v>
      </c>
      <c r="I828" s="653">
        <v>85</v>
      </c>
      <c r="J828" s="653">
        <v>90</v>
      </c>
      <c r="K828">
        <f t="shared" si="139"/>
        <v>0</v>
      </c>
      <c r="L828"/>
      <c r="M828"/>
      <c r="N828"/>
      <c r="O828"/>
    </row>
    <row r="829" spans="3:15" ht="15.75" hidden="1" customHeight="1">
      <c r="C829">
        <f t="shared" si="138"/>
        <v>4</v>
      </c>
      <c r="D829" s="654">
        <f t="shared" si="140"/>
        <v>1500</v>
      </c>
      <c r="E829" s="654">
        <f t="shared" si="141"/>
        <v>2000</v>
      </c>
      <c r="F829" s="653">
        <v>75</v>
      </c>
      <c r="G829" s="653">
        <v>85</v>
      </c>
      <c r="H829" s="653">
        <v>90</v>
      </c>
      <c r="I829" s="653">
        <v>100</v>
      </c>
      <c r="J829" s="653">
        <v>105</v>
      </c>
      <c r="K829">
        <f t="shared" si="139"/>
        <v>0</v>
      </c>
      <c r="L829"/>
      <c r="M829"/>
      <c r="N829"/>
      <c r="O829"/>
    </row>
    <row r="830" spans="3:15" ht="15.75" hidden="1" customHeight="1">
      <c r="C830">
        <f t="shared" si="138"/>
        <v>5</v>
      </c>
      <c r="D830" s="654">
        <f t="shared" si="140"/>
        <v>2000</v>
      </c>
      <c r="E830" s="654">
        <f t="shared" si="141"/>
        <v>2500</v>
      </c>
      <c r="F830" s="653">
        <v>90</v>
      </c>
      <c r="G830" s="653">
        <v>100</v>
      </c>
      <c r="H830" s="653">
        <v>105</v>
      </c>
      <c r="I830" s="653">
        <v>115</v>
      </c>
      <c r="J830" s="653">
        <v>120</v>
      </c>
      <c r="K830">
        <f t="shared" si="139"/>
        <v>5</v>
      </c>
      <c r="L830"/>
      <c r="M830"/>
      <c r="N830"/>
      <c r="O830"/>
    </row>
    <row r="831" spans="3:15" ht="15.75" hidden="1" customHeight="1">
      <c r="C831">
        <f t="shared" si="138"/>
        <v>6</v>
      </c>
      <c r="D831" s="654">
        <f t="shared" si="140"/>
        <v>2500</v>
      </c>
      <c r="E831" s="654">
        <f t="shared" si="141"/>
        <v>3000</v>
      </c>
      <c r="F831" s="653">
        <v>105</v>
      </c>
      <c r="G831" s="653">
        <v>115</v>
      </c>
      <c r="H831" s="653">
        <v>120</v>
      </c>
      <c r="I831" s="653">
        <v>130</v>
      </c>
      <c r="J831" s="653">
        <v>135</v>
      </c>
      <c r="K831">
        <f t="shared" si="139"/>
        <v>0</v>
      </c>
      <c r="L831"/>
      <c r="M831"/>
      <c r="N831"/>
      <c r="O831"/>
    </row>
    <row r="832" spans="3:15" ht="15.75" hidden="1" customHeight="1">
      <c r="C832">
        <f t="shared" si="138"/>
        <v>7</v>
      </c>
      <c r="D832" s="654">
        <f t="shared" si="140"/>
        <v>3000</v>
      </c>
      <c r="E832" s="654">
        <f t="shared" si="141"/>
        <v>3500</v>
      </c>
      <c r="F832" s="653">
        <v>120</v>
      </c>
      <c r="G832" s="653">
        <v>130</v>
      </c>
      <c r="H832" s="653">
        <v>135</v>
      </c>
      <c r="I832" s="653">
        <v>145</v>
      </c>
      <c r="J832" s="653">
        <v>150</v>
      </c>
      <c r="K832">
        <f t="shared" si="139"/>
        <v>0</v>
      </c>
      <c r="L832"/>
      <c r="M832"/>
      <c r="N832"/>
      <c r="O832"/>
    </row>
    <row r="833" spans="3:15" ht="15.75" hidden="1" customHeight="1">
      <c r="C833">
        <f t="shared" si="138"/>
        <v>8</v>
      </c>
      <c r="D833" s="654">
        <f t="shared" si="140"/>
        <v>3500</v>
      </c>
      <c r="E833" s="654">
        <v>9999999</v>
      </c>
      <c r="F833" s="653">
        <v>135</v>
      </c>
      <c r="G833" s="653">
        <v>145</v>
      </c>
      <c r="H833" s="653">
        <v>150</v>
      </c>
      <c r="I833" s="653">
        <v>160</v>
      </c>
      <c r="J833" s="653">
        <v>165</v>
      </c>
      <c r="K833">
        <f t="shared" si="139"/>
        <v>0</v>
      </c>
      <c r="L833"/>
      <c r="M833"/>
      <c r="N833"/>
      <c r="O833"/>
    </row>
    <row r="834" spans="3:15" ht="15.75" hidden="1" customHeight="1">
      <c r="C834"/>
      <c r="D834"/>
      <c r="E834" s="659" t="s">
        <v>2674</v>
      </c>
      <c r="F834">
        <f>IF(OR($F$808=F824,$F$808=F825),F822,0)</f>
        <v>0</v>
      </c>
      <c r="G834">
        <f>IF(OR($F$808=G824,$F$808=G825),G822,0)</f>
        <v>2</v>
      </c>
      <c r="H834">
        <f>IF(OR($F$808=H824,$F$808=H825),H822,0)</f>
        <v>0</v>
      </c>
      <c r="I834">
        <f>IF(OR($F$808=I824,$F$808=I825),I822,0)</f>
        <v>0</v>
      </c>
      <c r="J834">
        <f>IF($F$808&gt;=J824,J822,0)</f>
        <v>0</v>
      </c>
      <c r="K834"/>
      <c r="L834"/>
      <c r="M834"/>
      <c r="N834"/>
      <c r="O834"/>
    </row>
    <row r="835" spans="3:15" ht="15.75" hidden="1" customHeight="1">
      <c r="C835"/>
      <c r="D835"/>
      <c r="E835"/>
      <c r="F835"/>
      <c r="G835"/>
      <c r="H835"/>
      <c r="I835"/>
      <c r="J835"/>
      <c r="K835"/>
      <c r="L835"/>
      <c r="M835"/>
      <c r="N835"/>
      <c r="O835"/>
    </row>
    <row r="836" spans="3:15" ht="15.75" hidden="1" customHeight="1">
      <c r="C836" s="674"/>
      <c r="D836" s="674" t="s">
        <v>2685</v>
      </c>
      <c r="E836" s="674"/>
      <c r="F836" s="674"/>
      <c r="G836" s="674"/>
      <c r="H836" s="674"/>
      <c r="I836" s="674"/>
      <c r="J836" s="674"/>
      <c r="K836" s="674"/>
      <c r="L836" s="674"/>
      <c r="M836" s="674"/>
      <c r="N836" s="674"/>
      <c r="O836" s="674"/>
    </row>
    <row r="837" spans="3:15" ht="15.75" hidden="1" customHeight="1">
      <c r="C837"/>
      <c r="D837"/>
      <c r="E837" s="662" t="s">
        <v>2677</v>
      </c>
      <c r="F837" s="653">
        <f>IF(F808="Enter Bedroom",F808,SUM(F860:J860))</f>
        <v>3</v>
      </c>
      <c r="G837"/>
      <c r="H837"/>
      <c r="I837"/>
      <c r="J837"/>
      <c r="K837"/>
      <c r="L837"/>
      <c r="M837"/>
      <c r="N837"/>
      <c r="O837"/>
    </row>
    <row r="838" spans="3:15" ht="15.75" hidden="1" customHeight="1">
      <c r="C838"/>
      <c r="D838"/>
      <c r="E838" s="662" t="s">
        <v>2676</v>
      </c>
      <c r="F838" s="653">
        <f>IF(F807="Enter Area",F807,SUM(K849:K859))</f>
        <v>5</v>
      </c>
      <c r="G838"/>
      <c r="H838"/>
      <c r="I838"/>
      <c r="J838"/>
      <c r="K838"/>
      <c r="L838"/>
      <c r="M838"/>
      <c r="N838"/>
      <c r="O838"/>
    </row>
    <row r="839" spans="3:15" ht="15.75" hidden="1" customHeight="1">
      <c r="C839"/>
      <c r="D839"/>
      <c r="E839" s="662" t="s">
        <v>2679</v>
      </c>
      <c r="F839" s="668">
        <f ca="1">OFFSET(E848,F838,F837)</f>
        <v>55</v>
      </c>
      <c r="G839"/>
      <c r="H839"/>
      <c r="I839"/>
      <c r="J839"/>
      <c r="K839"/>
      <c r="L839"/>
      <c r="M839"/>
      <c r="N839"/>
      <c r="O839"/>
    </row>
    <row r="840" spans="3:15" ht="15.75" hidden="1" customHeight="1">
      <c r="C840"/>
      <c r="D840"/>
      <c r="E840" s="662" t="s">
        <v>2763</v>
      </c>
      <c r="F840" s="653">
        <f>F873</f>
        <v>1.25</v>
      </c>
      <c r="G840"/>
      <c r="H840"/>
      <c r="I840"/>
      <c r="J840"/>
      <c r="K840"/>
      <c r="L840"/>
      <c r="M840"/>
      <c r="N840"/>
      <c r="O840"/>
    </row>
    <row r="841" spans="3:15" ht="15.75" hidden="1" customHeight="1">
      <c r="C841"/>
      <c r="D841"/>
      <c r="E841" s="662" t="s">
        <v>2680</v>
      </c>
      <c r="F841" s="665">
        <f ca="1">F839*F805*F840</f>
        <v>68.75</v>
      </c>
      <c r="G841"/>
      <c r="H841"/>
      <c r="I841"/>
      <c r="J841"/>
      <c r="K841"/>
      <c r="L841"/>
      <c r="M841"/>
      <c r="N841"/>
      <c r="O841"/>
    </row>
    <row r="842" spans="3:15" ht="15.75" hidden="1" customHeight="1">
      <c r="C842"/>
      <c r="D842"/>
      <c r="E842" s="94"/>
      <c r="F842"/>
      <c r="G842"/>
      <c r="H842"/>
      <c r="I842"/>
      <c r="J842"/>
      <c r="K842"/>
      <c r="L842"/>
      <c r="M842"/>
      <c r="N842"/>
      <c r="O842"/>
    </row>
    <row r="843" spans="3:15" ht="15.75" hidden="1" customHeight="1">
      <c r="C843"/>
      <c r="D843"/>
      <c r="E843"/>
      <c r="F843"/>
      <c r="G843"/>
      <c r="H843"/>
      <c r="I843"/>
      <c r="J843"/>
      <c r="K843"/>
      <c r="L843"/>
      <c r="M843"/>
      <c r="N843"/>
      <c r="O843"/>
    </row>
    <row r="844" spans="3:15" ht="15.75" hidden="1" customHeight="1">
      <c r="C844"/>
      <c r="D844"/>
      <c r="E844"/>
      <c r="F844"/>
      <c r="G844"/>
      <c r="H844"/>
      <c r="I844"/>
      <c r="J844"/>
      <c r="K844"/>
      <c r="L844"/>
      <c r="M844"/>
      <c r="N844"/>
      <c r="O844"/>
    </row>
    <row r="845" spans="3:15" ht="15.75" hidden="1" customHeight="1">
      <c r="C845"/>
      <c r="D845"/>
      <c r="E845"/>
      <c r="F845" s="653">
        <v>1</v>
      </c>
      <c r="G845" s="653">
        <f>F845+1</f>
        <v>2</v>
      </c>
      <c r="H845" s="653">
        <f>G845+1</f>
        <v>3</v>
      </c>
      <c r="I845" s="653">
        <f>H845+1</f>
        <v>4</v>
      </c>
      <c r="J845" s="653">
        <f>I845+1</f>
        <v>5</v>
      </c>
      <c r="K845"/>
      <c r="L845"/>
      <c r="M845"/>
      <c r="N845"/>
      <c r="O845"/>
    </row>
    <row r="846" spans="3:15" ht="15.75" hidden="1" customHeight="1">
      <c r="C846"/>
      <c r="D846" s="677" t="s">
        <v>2685</v>
      </c>
      <c r="E846"/>
      <c r="F846"/>
      <c r="G846"/>
      <c r="H846"/>
      <c r="I846"/>
      <c r="J846"/>
      <c r="K846" s="94" t="s">
        <v>2675</v>
      </c>
      <c r="L846"/>
      <c r="M846"/>
      <c r="N846"/>
      <c r="O846"/>
    </row>
    <row r="847" spans="3:15" ht="15.75" hidden="1" customHeight="1">
      <c r="C847"/>
      <c r="D847" s="654"/>
      <c r="E847" s="654"/>
      <c r="F847" s="654">
        <v>0</v>
      </c>
      <c r="G847" s="654">
        <v>2</v>
      </c>
      <c r="H847" s="654">
        <v>3</v>
      </c>
      <c r="I847" s="654">
        <v>4</v>
      </c>
      <c r="J847" s="654">
        <v>5</v>
      </c>
      <c r="K847"/>
      <c r="L847"/>
      <c r="M847"/>
      <c r="N847"/>
      <c r="O847"/>
    </row>
    <row r="848" spans="3:15" ht="15.75" hidden="1" customHeight="1">
      <c r="C848"/>
      <c r="D848" s="660" t="s">
        <v>2681</v>
      </c>
      <c r="E848" s="661" t="s">
        <v>2682</v>
      </c>
      <c r="F848" s="655">
        <v>1</v>
      </c>
      <c r="G848" s="654">
        <v>2</v>
      </c>
      <c r="H848" s="654">
        <v>3</v>
      </c>
      <c r="I848" s="654">
        <v>4</v>
      </c>
      <c r="J848" s="654"/>
      <c r="K848"/>
      <c r="L848"/>
      <c r="M848"/>
      <c r="N848"/>
      <c r="O848"/>
    </row>
    <row r="849" spans="3:15" ht="15.75" hidden="1" customHeight="1">
      <c r="C849">
        <f t="shared" ref="C849:C859" si="142">C848+1</f>
        <v>1</v>
      </c>
      <c r="D849" s="654">
        <v>0</v>
      </c>
      <c r="E849" s="654">
        <v>500</v>
      </c>
      <c r="F849" s="653">
        <v>30</v>
      </c>
      <c r="G849" s="653">
        <v>30</v>
      </c>
      <c r="H849" s="653">
        <v>35</v>
      </c>
      <c r="I849" s="653">
        <v>45</v>
      </c>
      <c r="J849" s="653">
        <v>50</v>
      </c>
      <c r="K849">
        <f t="shared" ref="K849:K859" si="143">IF(AND($F$807&gt;D849,$F$807&lt;=E849),C849,0)</f>
        <v>0</v>
      </c>
      <c r="L849"/>
      <c r="M849"/>
      <c r="N849"/>
      <c r="O849"/>
    </row>
    <row r="850" spans="3:15" ht="15.75" hidden="1" customHeight="1">
      <c r="C850">
        <f t="shared" si="142"/>
        <v>2</v>
      </c>
      <c r="D850" s="654">
        <f t="shared" ref="D850:D859" si="144">E849</f>
        <v>500</v>
      </c>
      <c r="E850" s="654">
        <f t="shared" ref="E850:E858" si="145">E849+500</f>
        <v>1000</v>
      </c>
      <c r="F850" s="653">
        <v>30</v>
      </c>
      <c r="G850" s="653">
        <f t="shared" ref="G850:G858" si="146">G849+5</f>
        <v>35</v>
      </c>
      <c r="H850" s="653">
        <f t="shared" ref="H850:H858" si="147">H849+5</f>
        <v>40</v>
      </c>
      <c r="I850" s="653">
        <f t="shared" ref="I850:I858" si="148">I849+5</f>
        <v>50</v>
      </c>
      <c r="J850" s="653">
        <f t="shared" ref="J850:J858" si="149">J849+5</f>
        <v>55</v>
      </c>
      <c r="K850">
        <f t="shared" si="143"/>
        <v>0</v>
      </c>
      <c r="L850"/>
      <c r="M850"/>
      <c r="N850"/>
      <c r="O850"/>
    </row>
    <row r="851" spans="3:15" ht="15.75" hidden="1" customHeight="1">
      <c r="C851">
        <f t="shared" si="142"/>
        <v>3</v>
      </c>
      <c r="D851" s="654">
        <f t="shared" si="144"/>
        <v>1000</v>
      </c>
      <c r="E851" s="654">
        <f t="shared" si="145"/>
        <v>1500</v>
      </c>
      <c r="F851" s="653">
        <v>30</v>
      </c>
      <c r="G851" s="653">
        <f t="shared" si="146"/>
        <v>40</v>
      </c>
      <c r="H851" s="653">
        <f t="shared" si="147"/>
        <v>45</v>
      </c>
      <c r="I851" s="653">
        <f t="shared" si="148"/>
        <v>55</v>
      </c>
      <c r="J851" s="653">
        <f t="shared" si="149"/>
        <v>60</v>
      </c>
      <c r="K851">
        <f t="shared" si="143"/>
        <v>0</v>
      </c>
      <c r="L851"/>
      <c r="M851"/>
      <c r="N851"/>
      <c r="O851"/>
    </row>
    <row r="852" spans="3:15" ht="15.75" hidden="1" customHeight="1">
      <c r="C852">
        <f t="shared" si="142"/>
        <v>4</v>
      </c>
      <c r="D852" s="654">
        <f t="shared" si="144"/>
        <v>1500</v>
      </c>
      <c r="E852" s="654">
        <f t="shared" si="145"/>
        <v>2000</v>
      </c>
      <c r="F852" s="653">
        <f t="shared" ref="F852:F858" si="150">F851+5</f>
        <v>35</v>
      </c>
      <c r="G852" s="653">
        <f t="shared" si="146"/>
        <v>45</v>
      </c>
      <c r="H852" s="653">
        <f t="shared" si="147"/>
        <v>50</v>
      </c>
      <c r="I852" s="653">
        <f t="shared" si="148"/>
        <v>60</v>
      </c>
      <c r="J852" s="653">
        <f t="shared" si="149"/>
        <v>65</v>
      </c>
      <c r="K852">
        <f t="shared" si="143"/>
        <v>0</v>
      </c>
      <c r="L852"/>
      <c r="M852"/>
      <c r="N852"/>
      <c r="O852"/>
    </row>
    <row r="853" spans="3:15" ht="15.75" hidden="1" customHeight="1">
      <c r="C853">
        <f t="shared" si="142"/>
        <v>5</v>
      </c>
      <c r="D853" s="654">
        <f t="shared" si="144"/>
        <v>2000</v>
      </c>
      <c r="E853" s="654">
        <f t="shared" si="145"/>
        <v>2500</v>
      </c>
      <c r="F853" s="653">
        <f t="shared" si="150"/>
        <v>40</v>
      </c>
      <c r="G853" s="653">
        <f t="shared" si="146"/>
        <v>50</v>
      </c>
      <c r="H853" s="653">
        <f t="shared" si="147"/>
        <v>55</v>
      </c>
      <c r="I853" s="653">
        <f t="shared" si="148"/>
        <v>65</v>
      </c>
      <c r="J853" s="653">
        <f t="shared" si="149"/>
        <v>70</v>
      </c>
      <c r="K853">
        <f t="shared" si="143"/>
        <v>5</v>
      </c>
      <c r="L853"/>
      <c r="M853"/>
      <c r="N853"/>
      <c r="O853"/>
    </row>
    <row r="854" spans="3:15" ht="15.75" hidden="1" customHeight="1">
      <c r="C854">
        <f t="shared" si="142"/>
        <v>6</v>
      </c>
      <c r="D854" s="654">
        <f t="shared" si="144"/>
        <v>2500</v>
      </c>
      <c r="E854" s="654">
        <f t="shared" si="145"/>
        <v>3000</v>
      </c>
      <c r="F854" s="653">
        <f t="shared" si="150"/>
        <v>45</v>
      </c>
      <c r="G854" s="653">
        <f t="shared" si="146"/>
        <v>55</v>
      </c>
      <c r="H854" s="653">
        <f t="shared" si="147"/>
        <v>60</v>
      </c>
      <c r="I854" s="653">
        <f t="shared" si="148"/>
        <v>70</v>
      </c>
      <c r="J854" s="653">
        <f t="shared" si="149"/>
        <v>75</v>
      </c>
      <c r="K854">
        <f t="shared" si="143"/>
        <v>0</v>
      </c>
      <c r="L854"/>
      <c r="M854"/>
      <c r="N854"/>
      <c r="O854"/>
    </row>
    <row r="855" spans="3:15" ht="15.75" hidden="1" customHeight="1">
      <c r="C855">
        <f t="shared" si="142"/>
        <v>7</v>
      </c>
      <c r="D855" s="654">
        <f t="shared" si="144"/>
        <v>3000</v>
      </c>
      <c r="E855" s="654">
        <f t="shared" si="145"/>
        <v>3500</v>
      </c>
      <c r="F855" s="653">
        <f t="shared" si="150"/>
        <v>50</v>
      </c>
      <c r="G855" s="653">
        <f t="shared" si="146"/>
        <v>60</v>
      </c>
      <c r="H855" s="653">
        <f t="shared" si="147"/>
        <v>65</v>
      </c>
      <c r="I855" s="653">
        <f t="shared" si="148"/>
        <v>75</v>
      </c>
      <c r="J855" s="653">
        <f t="shared" si="149"/>
        <v>80</v>
      </c>
      <c r="K855">
        <f t="shared" si="143"/>
        <v>0</v>
      </c>
      <c r="L855"/>
      <c r="M855"/>
      <c r="N855"/>
      <c r="O855"/>
    </row>
    <row r="856" spans="3:15" ht="15.75" hidden="1" customHeight="1">
      <c r="C856">
        <f t="shared" si="142"/>
        <v>8</v>
      </c>
      <c r="D856" s="654">
        <f t="shared" si="144"/>
        <v>3500</v>
      </c>
      <c r="E856" s="654">
        <f t="shared" si="145"/>
        <v>4000</v>
      </c>
      <c r="F856" s="653">
        <f t="shared" si="150"/>
        <v>55</v>
      </c>
      <c r="G856" s="653">
        <f t="shared" si="146"/>
        <v>65</v>
      </c>
      <c r="H856" s="653">
        <f t="shared" si="147"/>
        <v>70</v>
      </c>
      <c r="I856" s="653">
        <f t="shared" si="148"/>
        <v>80</v>
      </c>
      <c r="J856" s="653">
        <f t="shared" si="149"/>
        <v>85</v>
      </c>
      <c r="K856">
        <f t="shared" si="143"/>
        <v>0</v>
      </c>
      <c r="L856"/>
      <c r="M856"/>
      <c r="N856"/>
      <c r="O856"/>
    </row>
    <row r="857" spans="3:15" ht="15.75" hidden="1" customHeight="1">
      <c r="C857">
        <f t="shared" si="142"/>
        <v>9</v>
      </c>
      <c r="D857" s="654">
        <f t="shared" si="144"/>
        <v>4000</v>
      </c>
      <c r="E857" s="654">
        <f t="shared" si="145"/>
        <v>4500</v>
      </c>
      <c r="F857" s="653">
        <f t="shared" si="150"/>
        <v>60</v>
      </c>
      <c r="G857" s="653">
        <f t="shared" si="146"/>
        <v>70</v>
      </c>
      <c r="H857" s="653">
        <f t="shared" si="147"/>
        <v>75</v>
      </c>
      <c r="I857" s="653">
        <f t="shared" si="148"/>
        <v>85</v>
      </c>
      <c r="J857" s="653">
        <f t="shared" si="149"/>
        <v>90</v>
      </c>
      <c r="K857">
        <f t="shared" si="143"/>
        <v>0</v>
      </c>
      <c r="L857"/>
      <c r="M857"/>
      <c r="N857"/>
      <c r="O857"/>
    </row>
    <row r="858" spans="3:15" ht="15.75" hidden="1" customHeight="1">
      <c r="C858">
        <f t="shared" si="142"/>
        <v>10</v>
      </c>
      <c r="D858" s="654">
        <f t="shared" si="144"/>
        <v>4500</v>
      </c>
      <c r="E858" s="654">
        <f t="shared" si="145"/>
        <v>5000</v>
      </c>
      <c r="F858" s="653">
        <f t="shared" si="150"/>
        <v>65</v>
      </c>
      <c r="G858" s="653">
        <f t="shared" si="146"/>
        <v>75</v>
      </c>
      <c r="H858" s="653">
        <f t="shared" si="147"/>
        <v>80</v>
      </c>
      <c r="I858" s="653">
        <f t="shared" si="148"/>
        <v>90</v>
      </c>
      <c r="J858" s="653">
        <f t="shared" si="149"/>
        <v>95</v>
      </c>
      <c r="K858">
        <f t="shared" si="143"/>
        <v>0</v>
      </c>
      <c r="L858"/>
      <c r="M858"/>
      <c r="N858"/>
      <c r="O858"/>
    </row>
    <row r="859" spans="3:15" ht="15.75" hidden="1" customHeight="1">
      <c r="C859">
        <f t="shared" si="142"/>
        <v>11</v>
      </c>
      <c r="D859" s="654">
        <f t="shared" si="144"/>
        <v>5000</v>
      </c>
      <c r="E859" s="654">
        <v>99999999</v>
      </c>
      <c r="F859" s="653">
        <f>F858</f>
        <v>65</v>
      </c>
      <c r="G859" s="653">
        <f>G858</f>
        <v>75</v>
      </c>
      <c r="H859" s="653">
        <f>H858</f>
        <v>80</v>
      </c>
      <c r="I859" s="653">
        <f>I858</f>
        <v>90</v>
      </c>
      <c r="J859" s="653">
        <f>J858</f>
        <v>95</v>
      </c>
      <c r="K859">
        <f t="shared" si="143"/>
        <v>0</v>
      </c>
      <c r="L859"/>
      <c r="M859"/>
      <c r="N859"/>
      <c r="O859"/>
    </row>
    <row r="860" spans="3:15" ht="15.75" hidden="1" customHeight="1">
      <c r="C860"/>
      <c r="D860"/>
      <c r="E860" s="659" t="s">
        <v>2674</v>
      </c>
      <c r="F860">
        <f>IF(OR($F$808=F847,$F$808=F848),F845,0)</f>
        <v>0</v>
      </c>
      <c r="G860">
        <f>IF(OR($F$808=G847,$F$808=G848),G845,0)</f>
        <v>0</v>
      </c>
      <c r="H860">
        <f>IF(OR($F$808=H847,$F$808=H848),H845,0)</f>
        <v>3</v>
      </c>
      <c r="I860">
        <f>IF(OR($F$808=I847,$F$808=I848),I845,0)</f>
        <v>0</v>
      </c>
      <c r="J860">
        <f>IF($F$808&gt;=J847,J845,0)</f>
        <v>0</v>
      </c>
      <c r="K860"/>
      <c r="L860"/>
      <c r="M860"/>
      <c r="N860"/>
      <c r="O860"/>
    </row>
    <row r="861" spans="3:15" ht="15.75" hidden="1" customHeight="1">
      <c r="C861"/>
      <c r="D861"/>
      <c r="E861" s="94"/>
      <c r="F861"/>
      <c r="G861"/>
      <c r="H861"/>
      <c r="I861"/>
      <c r="J861"/>
      <c r="K861"/>
      <c r="L861"/>
      <c r="M861"/>
      <c r="N861"/>
      <c r="O861"/>
    </row>
    <row r="862" spans="3:15" ht="15.75" hidden="1" customHeight="1">
      <c r="C862"/>
      <c r="D862" s="753" t="s">
        <v>2770</v>
      </c>
      <c r="E862" s="754"/>
      <c r="F862" s="755"/>
      <c r="G862" s="755"/>
      <c r="H862" s="755"/>
      <c r="I862"/>
      <c r="J862"/>
      <c r="K862"/>
      <c r="L862"/>
      <c r="M862"/>
      <c r="N862"/>
      <c r="O862"/>
    </row>
    <row r="863" spans="3:15" ht="15.75" hidden="1" customHeight="1">
      <c r="C863"/>
      <c r="D863"/>
      <c r="E863" s="750" t="str">
        <f>E245</f>
        <v>Is the system Balanced?</v>
      </c>
      <c r="G863">
        <f>IF(E872="Balanced",1, 2)</f>
        <v>1</v>
      </c>
      <c r="H863"/>
      <c r="I863"/>
      <c r="J863"/>
      <c r="K863"/>
      <c r="L863"/>
      <c r="M863"/>
      <c r="N863"/>
      <c r="O863"/>
    </row>
    <row r="864" spans="3:15" ht="15.75" hidden="1" customHeight="1">
      <c r="C864"/>
      <c r="D864"/>
      <c r="E864" s="750" t="str">
        <f>E246</f>
        <v>Is the system Distributed?</v>
      </c>
      <c r="F864" s="678" t="str">
        <f>F246</f>
        <v>Not Distributed</v>
      </c>
      <c r="G864">
        <f>IF(F864="Distributed",2, 3)</f>
        <v>3</v>
      </c>
      <c r="H864"/>
      <c r="I864"/>
      <c r="J864"/>
      <c r="K864"/>
      <c r="L864"/>
      <c r="M864"/>
      <c r="N864"/>
      <c r="O864"/>
    </row>
    <row r="865" spans="2:34" ht="15.75" hidden="1" customHeight="1">
      <c r="C865"/>
      <c r="D865"/>
      <c r="E865" s="94" t="s">
        <v>2753</v>
      </c>
      <c r="F865" t="s">
        <v>2756</v>
      </c>
      <c r="G865"/>
      <c r="H865"/>
      <c r="I865"/>
      <c r="J865"/>
      <c r="K865"/>
      <c r="L865"/>
      <c r="M865"/>
      <c r="N865"/>
      <c r="O865"/>
    </row>
    <row r="866" spans="2:34" ht="15.75" hidden="1" customHeight="1">
      <c r="C866"/>
      <c r="D866" s="659" t="s">
        <v>2759</v>
      </c>
      <c r="E866" s="662"/>
      <c r="F866" s="748" t="s">
        <v>2757</v>
      </c>
      <c r="G866" s="654" t="s">
        <v>2758</v>
      </c>
      <c r="H866"/>
      <c r="I866"/>
      <c r="J866"/>
      <c r="K866"/>
      <c r="L866"/>
      <c r="M866"/>
      <c r="N866"/>
      <c r="O866"/>
    </row>
    <row r="867" spans="2:34" ht="15.75" hidden="1" customHeight="1">
      <c r="C867"/>
      <c r="D867"/>
      <c r="E867" s="747" t="s">
        <v>2754</v>
      </c>
      <c r="F867" s="653">
        <v>1</v>
      </c>
      <c r="G867" s="653">
        <v>1.25</v>
      </c>
      <c r="H867"/>
      <c r="I867"/>
      <c r="J867"/>
      <c r="K867"/>
      <c r="L867"/>
      <c r="M867"/>
      <c r="N867"/>
      <c r="O867"/>
    </row>
    <row r="868" spans="2:34" ht="15.75" hidden="1" customHeight="1">
      <c r="C868"/>
      <c r="D868"/>
      <c r="E868" s="660" t="s">
        <v>2755</v>
      </c>
      <c r="F868" s="653">
        <v>1.25</v>
      </c>
      <c r="G868" s="653">
        <v>1.5</v>
      </c>
      <c r="H868"/>
      <c r="I868"/>
      <c r="J868"/>
      <c r="K868"/>
      <c r="L868"/>
      <c r="M868"/>
      <c r="N868"/>
      <c r="O868"/>
    </row>
    <row r="869" spans="2:34" ht="15.75" hidden="1" customHeight="1">
      <c r="C869"/>
      <c r="D869"/>
      <c r="E869"/>
      <c r="F869"/>
      <c r="G869"/>
      <c r="H869"/>
      <c r="I869"/>
      <c r="J869"/>
      <c r="K869"/>
      <c r="L869"/>
      <c r="M869"/>
      <c r="N869"/>
      <c r="O869"/>
    </row>
    <row r="870" spans="2:34" ht="15.75" hidden="1" customHeight="1">
      <c r="C870"/>
      <c r="D870"/>
      <c r="E870"/>
      <c r="F870"/>
      <c r="G870"/>
      <c r="H870"/>
      <c r="I870"/>
      <c r="J870"/>
      <c r="K870"/>
      <c r="L870"/>
      <c r="M870"/>
      <c r="N870"/>
      <c r="O870"/>
    </row>
    <row r="871" spans="2:34" ht="15.75" hidden="1" customHeight="1">
      <c r="C871"/>
      <c r="D871"/>
      <c r="E871" s="94"/>
      <c r="F871" s="748" t="s">
        <v>2757</v>
      </c>
      <c r="G871" s="654" t="s">
        <v>2758</v>
      </c>
      <c r="H871"/>
      <c r="I871"/>
      <c r="J871"/>
      <c r="K871"/>
      <c r="L871"/>
      <c r="M871"/>
      <c r="N871"/>
      <c r="O871"/>
    </row>
    <row r="872" spans="2:34" ht="15.75" hidden="1" customHeight="1">
      <c r="C872"/>
      <c r="D872"/>
      <c r="E872" s="750" t="str">
        <f>F245</f>
        <v>Balanced</v>
      </c>
      <c r="F872" s="653">
        <f>VLOOKUP($E$872,$E$867:$G$868,2,FALSE)</f>
        <v>1</v>
      </c>
      <c r="G872" s="653">
        <f>VLOOKUP($E$872,$E$867:$G$868,3,FALSE)</f>
        <v>1.25</v>
      </c>
      <c r="H872"/>
      <c r="I872"/>
      <c r="J872"/>
      <c r="K872"/>
      <c r="L872"/>
      <c r="M872"/>
      <c r="N872"/>
      <c r="O872"/>
    </row>
    <row r="873" spans="2:34" ht="15.75" hidden="1" customHeight="1">
      <c r="C873"/>
      <c r="D873"/>
      <c r="E873" s="659" t="s">
        <v>2762</v>
      </c>
      <c r="F873" s="751">
        <f>HLOOKUP(F246,F871:G872,2,FALSE)</f>
        <v>1.25</v>
      </c>
      <c r="G873"/>
      <c r="H873"/>
      <c r="I873"/>
      <c r="J873"/>
      <c r="K873"/>
      <c r="L873"/>
      <c r="M873"/>
      <c r="N873"/>
      <c r="O873"/>
    </row>
    <row r="874" spans="2:34" ht="15.75" hidden="1" customHeight="1">
      <c r="B874" s="694"/>
      <c r="C874" s="695"/>
      <c r="D874" s="695"/>
      <c r="E874" s="696"/>
      <c r="F874" s="695"/>
      <c r="G874" s="695"/>
      <c r="H874" s="695"/>
      <c r="I874" s="695"/>
      <c r="J874" s="695"/>
      <c r="K874" s="695"/>
      <c r="L874" s="695"/>
      <c r="M874" s="695"/>
      <c r="N874" s="695"/>
      <c r="O874" s="695"/>
      <c r="P874" s="694"/>
      <c r="Q874" s="694"/>
      <c r="R874" s="694"/>
      <c r="S874" s="694"/>
      <c r="T874" s="694"/>
      <c r="U874" s="694"/>
      <c r="V874" s="694"/>
      <c r="W874" s="694"/>
      <c r="X874" s="694"/>
      <c r="Y874" s="694"/>
      <c r="Z874" s="694"/>
      <c r="AA874" s="694"/>
      <c r="AB874" s="694"/>
      <c r="AC874" s="694"/>
      <c r="AD874" s="694"/>
      <c r="AE874" s="694"/>
      <c r="AF874" s="694"/>
      <c r="AG874" s="694"/>
      <c r="AH874" s="694"/>
    </row>
    <row r="875" spans="2:34" ht="15.75" hidden="1" customHeight="1">
      <c r="C875"/>
      <c r="D875" s="677" t="s">
        <v>3079</v>
      </c>
      <c r="G875"/>
      <c r="H875"/>
      <c r="I875"/>
      <c r="J875"/>
      <c r="K875"/>
      <c r="L875"/>
      <c r="M875"/>
      <c r="N875"/>
      <c r="O875"/>
    </row>
    <row r="876" spans="2:34" ht="15.75" hidden="1" customHeight="1">
      <c r="C876"/>
      <c r="D876"/>
      <c r="E876" s="94" t="s">
        <v>3076</v>
      </c>
      <c r="F876" t="str">
        <f>IF(Menu_HydronicHeatingSystem="Yes","No",IF(Menu_DuctLocation="","Select duct location from menu",IF(Menu_DuctLocation&lt;&gt;MenuItem_UnconditionedSpace,"No",IF(ExceptionTotal&lt;&gt;0,"No","Yes"))))</f>
        <v>Yes</v>
      </c>
      <c r="G876"/>
      <c r="H876"/>
      <c r="I876"/>
      <c r="J876"/>
      <c r="K876"/>
      <c r="L876"/>
      <c r="M876"/>
      <c r="N876"/>
      <c r="O876"/>
    </row>
    <row r="877" spans="2:34" ht="15.75" hidden="1" customHeight="1">
      <c r="C877"/>
      <c r="D877"/>
      <c r="E877" s="94" t="s">
        <v>3078</v>
      </c>
      <c r="F877" t="str">
        <f>IF(Menu_HydronicHeatingSystem="Yes","No",IF(Menu_DuctLocation="","Select duct location from menu",IF(Menu_DuctLocation=MenuItem_Unducted,"No",IF(ExceptionTotal&lt;&gt;0,"No","Yes"))))</f>
        <v>Yes</v>
      </c>
      <c r="G877"/>
      <c r="H877"/>
      <c r="I877"/>
      <c r="J877"/>
      <c r="K877"/>
      <c r="L877"/>
      <c r="M877"/>
      <c r="N877"/>
      <c r="O877"/>
    </row>
    <row r="878" spans="2:34" ht="15.75" hidden="1" customHeight="1">
      <c r="C878"/>
      <c r="D878"/>
      <c r="E878" s="94" t="s">
        <v>3077</v>
      </c>
      <c r="F878" s="1015" t="str">
        <f>IF(Menu_CodeVersion="WSEC 2021",F877,F876)</f>
        <v>Yes</v>
      </c>
      <c r="G878"/>
      <c r="H878"/>
      <c r="I878"/>
      <c r="J878"/>
      <c r="K878"/>
      <c r="L878"/>
      <c r="M878"/>
      <c r="N878"/>
      <c r="O878"/>
    </row>
    <row r="879" spans="2:34" ht="15.75" hidden="1" customHeight="1">
      <c r="C879"/>
      <c r="D879"/>
      <c r="E879" s="94"/>
      <c r="F879"/>
      <c r="G879"/>
      <c r="H879"/>
      <c r="I879"/>
      <c r="J879"/>
      <c r="K879"/>
      <c r="L879"/>
      <c r="M879"/>
      <c r="N879"/>
      <c r="O879"/>
    </row>
    <row r="880" spans="2:34" ht="15.75" hidden="1" customHeight="1">
      <c r="C880"/>
      <c r="D880"/>
      <c r="E880" s="677" t="s">
        <v>2716</v>
      </c>
      <c r="F880" s="94" t="s">
        <v>2233</v>
      </c>
      <c r="G880" s="94" t="s">
        <v>2851</v>
      </c>
      <c r="H880"/>
      <c r="I880" t="s">
        <v>2722</v>
      </c>
      <c r="K880"/>
      <c r="L880"/>
      <c r="M880"/>
      <c r="N880"/>
      <c r="O880"/>
    </row>
    <row r="881" spans="3:15" ht="15.75" hidden="1" customHeight="1">
      <c r="C881"/>
      <c r="D881"/>
      <c r="E881" s="656" t="str">
        <f>'Group R'!D257</f>
        <v>Are ducts systems documented to have been previously sealed as confirmed through field verification and diagnostic testing per RS-33?</v>
      </c>
      <c r="F881" s="225">
        <f>IF('Group R'!G257="Yes",1,0)</f>
        <v>0</v>
      </c>
      <c r="G881" s="225">
        <f>F881</f>
        <v>0</v>
      </c>
      <c r="H881"/>
      <c r="I881" s="88"/>
      <c r="K881"/>
      <c r="L881"/>
      <c r="M881"/>
      <c r="N881"/>
      <c r="O881"/>
    </row>
    <row r="882" spans="3:15" ht="15.75" hidden="1" customHeight="1">
      <c r="C882"/>
      <c r="D882"/>
      <c r="E882" s="656" t="str">
        <f>'Group R'!D258</f>
        <v>Is there less than 40 linear feet in unconditioned spaces? (not excepted under WSEC 2021)</v>
      </c>
      <c r="F882" s="225">
        <f>IF(AND(Menu_AirHandlerLocation="Conditioned Space",Menu_DuctLocation="Conditioned Space"),1,IF('Group R'!G258="Yes",1,0))</f>
        <v>0</v>
      </c>
      <c r="G882"/>
      <c r="H882"/>
      <c r="I882" s="697" t="s">
        <v>2525</v>
      </c>
      <c r="K882"/>
      <c r="L882"/>
      <c r="M882"/>
      <c r="N882"/>
      <c r="O882"/>
    </row>
    <row r="883" spans="3:15" ht="15.75" hidden="1" customHeight="1">
      <c r="C883"/>
      <c r="D883"/>
      <c r="E883" s="656" t="str">
        <f>'Group R'!D259</f>
        <v>Are existing duct systems constructed, insulated or sealed with asbestos?</v>
      </c>
      <c r="F883" s="225">
        <f>IF('Group R'!G259="Yes",1,0)</f>
        <v>0</v>
      </c>
      <c r="G883" s="225">
        <f>F883</f>
        <v>0</v>
      </c>
      <c r="H883"/>
      <c r="I883" s="697" t="s">
        <v>2340</v>
      </c>
      <c r="K883"/>
      <c r="L883"/>
      <c r="M883"/>
      <c r="N883"/>
      <c r="O883"/>
    </row>
    <row r="884" spans="3:15" ht="15.75" hidden="1" customHeight="1">
      <c r="C884"/>
      <c r="D884"/>
      <c r="E884" s="656" t="str">
        <f>'Group R'!D260</f>
        <v>Is the project an Addition less than 750 sf of conditioned floor area?</v>
      </c>
      <c r="F884" s="225">
        <f>IF('Group R'!G260="Yes",1,0)</f>
        <v>0</v>
      </c>
      <c r="G884" s="225">
        <f>F884</f>
        <v>0</v>
      </c>
      <c r="H884"/>
      <c r="I884" s="698" t="s">
        <v>2261</v>
      </c>
      <c r="K884"/>
      <c r="L884"/>
      <c r="M884"/>
      <c r="N884"/>
      <c r="O884"/>
    </row>
    <row r="885" spans="3:15" ht="15.75" hidden="1" customHeight="1">
      <c r="C885"/>
      <c r="D885"/>
      <c r="E885" s="699" t="s">
        <v>2764</v>
      </c>
      <c r="F885" s="700">
        <f>IF(Menu_ProjectType="New Construction",0,SUM(F881:F884))</f>
        <v>0</v>
      </c>
      <c r="G885" s="700">
        <f>IF(Menu_ProjectType="New Construction",0,SUM(G881:G884))</f>
        <v>0</v>
      </c>
      <c r="H885"/>
      <c r="I885"/>
      <c r="K885"/>
      <c r="L885"/>
      <c r="M885"/>
      <c r="N885"/>
      <c r="O885"/>
    </row>
    <row r="886" spans="3:15" ht="15.75" hidden="1" customHeight="1">
      <c r="C886"/>
      <c r="D886"/>
      <c r="E886" s="1016" t="s">
        <v>3083</v>
      </c>
      <c r="F886" s="1015">
        <f>IF(Menu_CodeVersion="WSEC 2021",G885,F885)</f>
        <v>0</v>
      </c>
      <c r="G886"/>
      <c r="H886"/>
      <c r="I886"/>
      <c r="K886"/>
      <c r="L886"/>
      <c r="M886"/>
      <c r="N886"/>
      <c r="O886"/>
    </row>
    <row r="887" spans="3:15" ht="15.75" hidden="1" customHeight="1">
      <c r="C887"/>
      <c r="D887"/>
      <c r="E887" s="1016"/>
      <c r="F887"/>
      <c r="G887"/>
      <c r="H887"/>
      <c r="I887"/>
      <c r="K887"/>
      <c r="L887"/>
      <c r="M887"/>
      <c r="N887"/>
      <c r="O887"/>
    </row>
    <row r="888" spans="3:15" ht="15.75" hidden="1" customHeight="1">
      <c r="C888"/>
      <c r="D888"/>
      <c r="E888" s="692" t="s">
        <v>3075</v>
      </c>
      <c r="F888"/>
      <c r="G888"/>
      <c r="H888"/>
      <c r="I888"/>
      <c r="K888"/>
      <c r="L888"/>
      <c r="M888"/>
      <c r="N888"/>
      <c r="O888"/>
    </row>
    <row r="889" spans="3:15" ht="15.75" hidden="1" customHeight="1">
      <c r="C889"/>
      <c r="D889"/>
      <c r="E889" s="659" t="s">
        <v>2717</v>
      </c>
      <c r="F889" s="1012">
        <v>0.04</v>
      </c>
      <c r="G889" s="350" t="s">
        <v>2721</v>
      </c>
      <c r="H889"/>
      <c r="I889" s="1013" t="s">
        <v>3073</v>
      </c>
      <c r="K889"/>
      <c r="L889"/>
      <c r="M889"/>
      <c r="N889"/>
      <c r="O889"/>
    </row>
    <row r="890" spans="3:15" ht="15.75" hidden="1" customHeight="1">
      <c r="C890"/>
      <c r="D890"/>
      <c r="E890" s="659" t="s">
        <v>2718</v>
      </c>
      <c r="F890" s="1012">
        <v>0.03</v>
      </c>
      <c r="G890" s="350" t="s">
        <v>2721</v>
      </c>
      <c r="H890"/>
      <c r="I890"/>
      <c r="K890"/>
      <c r="L890"/>
      <c r="M890"/>
      <c r="N890"/>
      <c r="O890"/>
    </row>
    <row r="891" spans="3:15" ht="15.75" hidden="1" customHeight="1">
      <c r="C891"/>
      <c r="D891"/>
      <c r="E891" s="659" t="s">
        <v>3081</v>
      </c>
      <c r="F891" s="1014">
        <f>IF(F896="Yes",LeakageStandard_Lower,IF(G264="Yes",LeakageStandard_Upper,IF(G265="Yes",LeakageStandard_Upper,LeakageStandard_Lower)))</f>
        <v>0.04</v>
      </c>
      <c r="G891" s="350"/>
      <c r="H891"/>
      <c r="I891"/>
      <c r="K891"/>
      <c r="L891"/>
      <c r="M891"/>
      <c r="N891"/>
      <c r="O891"/>
    </row>
    <row r="892" spans="3:15" ht="15.75" hidden="1" customHeight="1">
      <c r="C892"/>
      <c r="D892"/>
      <c r="E892" s="692" t="s">
        <v>3080</v>
      </c>
      <c r="F892" s="1012">
        <v>0.08</v>
      </c>
      <c r="G892" s="350" t="s">
        <v>2721</v>
      </c>
      <c r="H892"/>
      <c r="I892">
        <f>IF(F896="Yes",LeakageStandard_Lower,IF(G264="Yes",LeakageStandard_Upper,IF(G265="Yes",LeakageStandard_Upper,LeakageStandard_Lower)))</f>
        <v>0.04</v>
      </c>
      <c r="J892"/>
      <c r="K892"/>
      <c r="L892"/>
      <c r="M892"/>
      <c r="N892"/>
      <c r="O892"/>
    </row>
    <row r="893" spans="3:15" ht="15.75" hidden="1" customHeight="1">
      <c r="C893"/>
      <c r="D893"/>
      <c r="E893" s="692" t="s">
        <v>2258</v>
      </c>
      <c r="F893" s="1015">
        <f>IF(AND(Menu_CodeVersion="WSEC 2021",Menu_DuctLocation="Conditioned Space",Menu_AirHandlerLocation="Conditioned Space"),F892,F891)</f>
        <v>0.04</v>
      </c>
      <c r="G893"/>
      <c r="H893"/>
      <c r="I893"/>
      <c r="J893"/>
      <c r="K893"/>
      <c r="L893"/>
      <c r="M893"/>
      <c r="N893"/>
      <c r="O893"/>
    </row>
    <row r="894" spans="3:15" ht="15.75" hidden="1" customHeight="1">
      <c r="C894"/>
      <c r="D894"/>
      <c r="E894" s="692"/>
      <c r="F894"/>
      <c r="G894"/>
      <c r="H894"/>
      <c r="I894"/>
      <c r="J894"/>
      <c r="K894"/>
      <c r="L894"/>
      <c r="M894"/>
      <c r="N894"/>
      <c r="O894"/>
    </row>
    <row r="895" spans="3:15" ht="15.75" hidden="1" customHeight="1">
      <c r="C895"/>
      <c r="D895"/>
      <c r="E895" s="692"/>
      <c r="F895"/>
      <c r="G895"/>
      <c r="H895"/>
      <c r="I895"/>
      <c r="J895"/>
      <c r="K895"/>
      <c r="L895"/>
      <c r="M895"/>
      <c r="N895"/>
      <c r="O895"/>
    </row>
    <row r="896" spans="3:15" ht="15.75" hidden="1" customHeight="1">
      <c r="C896"/>
      <c r="D896"/>
      <c r="E896" s="40" t="s">
        <v>2723</v>
      </c>
      <c r="F896" s="240" t="str">
        <f>IF(OR('Group R'!H55&lt;&gt;"Option 4.1",Menu_CodeVersion='Group R'!K399),"No","Yes")</f>
        <v>No</v>
      </c>
      <c r="G896"/>
      <c r="K896"/>
      <c r="L896"/>
      <c r="M896"/>
      <c r="N896"/>
      <c r="O896"/>
    </row>
    <row r="897" spans="1:35" ht="15.75" hidden="1" customHeight="1">
      <c r="C897"/>
      <c r="D897"/>
      <c r="E897" s="94"/>
      <c r="F897"/>
      <c r="G897"/>
      <c r="H897"/>
      <c r="I897"/>
      <c r="J897"/>
      <c r="K897"/>
      <c r="L897"/>
      <c r="M897"/>
      <c r="N897"/>
      <c r="O897"/>
    </row>
    <row r="898" spans="1:35" ht="15.75" hidden="1" customHeight="1">
      <c r="C898"/>
      <c r="D898"/>
      <c r="E898" s="94"/>
      <c r="F898"/>
      <c r="G898"/>
      <c r="H898"/>
      <c r="I898"/>
      <c r="J898"/>
      <c r="K898"/>
      <c r="L898"/>
      <c r="M898"/>
      <c r="N898"/>
      <c r="O898"/>
    </row>
    <row r="899" spans="1:35" ht="15.75" hidden="1" customHeight="1">
      <c r="C899"/>
      <c r="D899"/>
      <c r="E899" s="659" t="s">
        <v>2080</v>
      </c>
      <c r="F899" s="432">
        <f>IF(Menu_ProjectType&lt;&gt;Item_ProjectType_RemodelAlteration,Menu_Option4,"-")</f>
        <v>0</v>
      </c>
      <c r="G899" s="1004">
        <v>2021</v>
      </c>
      <c r="H899" s="1004">
        <v>2018</v>
      </c>
      <c r="I899"/>
      <c r="J899"/>
      <c r="K899"/>
      <c r="L899"/>
      <c r="M899"/>
      <c r="N899"/>
      <c r="O899"/>
    </row>
    <row r="900" spans="1:35" ht="15.75" hidden="1" customHeight="1">
      <c r="C900"/>
      <c r="D900"/>
      <c r="E900" s="712" t="s">
        <v>2732</v>
      </c>
      <c r="F900" s="432"/>
      <c r="G900">
        <v>4.0999999999999996</v>
      </c>
      <c r="H900">
        <v>4.2</v>
      </c>
      <c r="I900"/>
      <c r="J900"/>
      <c r="K900"/>
      <c r="L900"/>
      <c r="M900"/>
      <c r="N900"/>
      <c r="O900"/>
    </row>
    <row r="901" spans="1:35" ht="15.75" hidden="1" customHeight="1">
      <c r="C901"/>
      <c r="D901"/>
      <c r="E901" s="76" t="s">
        <v>2730</v>
      </c>
      <c r="F901" s="714" t="str">
        <f>Menu_DuctLocation</f>
        <v>Unconditioned Space</v>
      </c>
      <c r="G901" s="76">
        <f>IF(AND(Menu_CodeVersion=K399,Menu_Option4="Option 4.1",F901&lt;&gt;MenuItem_ConditionedSpace),1,0)</f>
        <v>0</v>
      </c>
      <c r="H901" s="653">
        <f>IF(AND(Menu_Option4="Option 4.2",F901&lt;&gt;MenuItem_ConditionedSpace),1,0)</f>
        <v>0</v>
      </c>
      <c r="I901"/>
      <c r="J901"/>
      <c r="K901"/>
      <c r="L901"/>
      <c r="M901"/>
      <c r="N901"/>
      <c r="O901"/>
    </row>
    <row r="902" spans="1:35" ht="15.75" hidden="1" customHeight="1">
      <c r="A902"/>
      <c r="B902"/>
      <c r="C902"/>
      <c r="D902"/>
      <c r="E902" s="662" t="s">
        <v>2731</v>
      </c>
      <c r="F902" s="714" t="str">
        <f>G255</f>
        <v>Unconditioned Space</v>
      </c>
      <c r="G902" s="653">
        <f>IF(AND(Menu_CodeVersion=K399,Menu_Option4)&lt;&gt;"Option 4.1",0,IF($F902=MenuItem_ConditionedSpace,0,1))</f>
        <v>0</v>
      </c>
      <c r="H902" s="653">
        <f>IF(Menu_Option4&lt;&gt;"Option 4.2",0,IF($F902=MenuItem_ConditionedSpace,0,1))</f>
        <v>0</v>
      </c>
      <c r="I902"/>
      <c r="J902"/>
      <c r="K902"/>
      <c r="L902"/>
      <c r="M902"/>
      <c r="N902"/>
      <c r="O902"/>
    </row>
    <row r="903" spans="1:35" ht="15.75" hidden="1" customHeight="1">
      <c r="A903"/>
      <c r="B903"/>
      <c r="C903"/>
      <c r="D903"/>
      <c r="E903" s="723" t="s">
        <v>2547</v>
      </c>
      <c r="F903" s="662" t="str">
        <f>IF(Menu_HydronicHeatingSystem="No","Ducts","Distribution System")</f>
        <v>Ducts</v>
      </c>
      <c r="G903" s="945" t="str">
        <f>IF(AND(F899="Option 4.1",F901="Unconditioned Space",F904="Ducts"),CONCATENATE("Ducts must be in conditioned space to select Option 4.1."),"")</f>
        <v/>
      </c>
      <c r="H903" s="715" t="str">
        <f>IF(H901&lt;&gt;0,CONCATENATE(F904," must be located in conditioned space to take Option 4.2"),"")</f>
        <v/>
      </c>
      <c r="I903"/>
      <c r="J903"/>
      <c r="K903"/>
      <c r="L903"/>
      <c r="M903"/>
      <c r="N903"/>
      <c r="O903"/>
    </row>
    <row r="904" spans="1:35" ht="15.75" hidden="1" customHeight="1">
      <c r="A904"/>
      <c r="B904"/>
      <c r="C904"/>
      <c r="D904"/>
      <c r="E904" s="723" t="s">
        <v>2547</v>
      </c>
      <c r="F904" s="662" t="str">
        <f>IF(Menu_HydronicHeatingSystem="No","Ducts","Distribution System")</f>
        <v>Ducts</v>
      </c>
      <c r="H904"/>
      <c r="I904"/>
      <c r="J904"/>
      <c r="K904"/>
      <c r="L904"/>
      <c r="M904"/>
      <c r="N904"/>
      <c r="O904"/>
      <c r="P904" s="96"/>
    </row>
    <row r="905" spans="1:35" ht="15.75" hidden="1" customHeight="1">
      <c r="A905"/>
      <c r="B905"/>
      <c r="C905"/>
      <c r="D905"/>
      <c r="E905" s="723" t="s">
        <v>2547</v>
      </c>
      <c r="F905" s="662" t="str">
        <f>IF(Menu_HydronicHeatingSystem="Yes","Boiler","Air Handler")</f>
        <v>Air Handler</v>
      </c>
      <c r="G905" s="715" t="str">
        <f>IF(AND(Menu_CodeVersion=K399,F899="Option 4.1",F902="Unconditioned Space",F905="Air Handler"),CONCATENATE("Air handler must be in conditioned space to select Option 4.1."),"")</f>
        <v/>
      </c>
      <c r="H905" s="715" t="str">
        <f>IF(AND(F899="Option 4.2",F902="Unconditioned Space",F905="Air Handler"),CONCATENATE("Air handler must be in conditioned space to select Option 4.2."),"")</f>
        <v/>
      </c>
      <c r="I905" s="1003"/>
      <c r="J905"/>
      <c r="K905"/>
      <c r="L905"/>
      <c r="M905"/>
      <c r="N905"/>
      <c r="O905"/>
    </row>
    <row r="906" spans="1:35" ht="15.75" hidden="1" customHeight="1">
      <c r="A906"/>
      <c r="B906"/>
      <c r="C906"/>
      <c r="D906"/>
      <c r="E906" s="723" t="s">
        <v>2733</v>
      </c>
      <c r="F906" s="94"/>
      <c r="G906" s="715" t="str">
        <f>CONCATENATE(G905," -",G903)</f>
        <v xml:space="preserve"> -</v>
      </c>
      <c r="H906" s="715" t="str">
        <f>CONCATENATE(H905," -",H903)</f>
        <v xml:space="preserve"> -</v>
      </c>
      <c r="I906" s="1003"/>
      <c r="J906"/>
      <c r="K906"/>
      <c r="L906"/>
      <c r="M906"/>
      <c r="N906"/>
      <c r="O906"/>
    </row>
    <row r="907" spans="1:35" ht="15.75" hidden="1" customHeight="1">
      <c r="A907"/>
      <c r="B907"/>
      <c r="C907"/>
      <c r="D907"/>
      <c r="E907" s="723" t="s">
        <v>3069</v>
      </c>
      <c r="G907" s="715" t="str">
        <f>IF(Menu_CodeVersion=K399,G906,H906)</f>
        <v xml:space="preserve"> -</v>
      </c>
      <c r="H907"/>
      <c r="I907"/>
      <c r="J907"/>
      <c r="K907"/>
      <c r="L907"/>
      <c r="M907"/>
      <c r="N907"/>
      <c r="O907"/>
    </row>
    <row r="908" spans="1:35" ht="15.75" hidden="1" customHeight="1">
      <c r="A908"/>
      <c r="B908"/>
      <c r="C908"/>
      <c r="D908"/>
      <c r="E908"/>
      <c r="F908"/>
      <c r="G908"/>
      <c r="H908"/>
      <c r="I908"/>
      <c r="J908"/>
      <c r="K908"/>
      <c r="L908"/>
      <c r="M908"/>
      <c r="N908"/>
      <c r="O908"/>
    </row>
    <row r="909" spans="1:35" ht="15.75" hidden="1" customHeight="1">
      <c r="A909" s="125"/>
      <c r="B909" s="125"/>
      <c r="C909" s="125"/>
      <c r="D909" s="125"/>
      <c r="E909" s="125"/>
      <c r="F909" s="125"/>
      <c r="G909" s="125"/>
      <c r="H909" s="125"/>
      <c r="I909" s="125"/>
      <c r="J909" s="125"/>
      <c r="K909" s="125"/>
      <c r="L909" s="125"/>
      <c r="M909" s="125"/>
      <c r="N909" s="125"/>
      <c r="O909" s="125"/>
      <c r="P909" s="125"/>
      <c r="Q909" s="125"/>
      <c r="R909" s="125"/>
      <c r="S909" s="125"/>
      <c r="T909" s="125"/>
      <c r="U909" s="125"/>
      <c r="V909" s="125"/>
      <c r="W909" s="125"/>
      <c r="X909" s="125"/>
      <c r="Y909" s="125"/>
      <c r="Z909" s="125"/>
      <c r="AA909" s="125"/>
      <c r="AB909" s="125"/>
      <c r="AC909" s="125"/>
      <c r="AD909" s="125"/>
      <c r="AE909" s="125"/>
      <c r="AF909" s="125"/>
      <c r="AG909" s="125"/>
      <c r="AH909" s="125"/>
      <c r="AI909" s="125"/>
    </row>
    <row r="910" spans="1:35" ht="15.75" hidden="1" customHeight="1">
      <c r="L910"/>
      <c r="M910"/>
      <c r="N910"/>
      <c r="O910"/>
    </row>
    <row r="911" spans="1:35" ht="15.75" hidden="1" customHeight="1">
      <c r="B911" s="917"/>
      <c r="C911" s="918" t="s">
        <v>2949</v>
      </c>
      <c r="D911" s="917"/>
      <c r="E911" s="917"/>
      <c r="F911" s="917"/>
      <c r="G911" s="917"/>
      <c r="H911" s="917"/>
      <c r="I911" s="917"/>
      <c r="J911" s="917"/>
      <c r="K911" s="917"/>
      <c r="L911" s="755"/>
      <c r="M911" s="755"/>
      <c r="N911" s="755"/>
      <c r="O911" s="755"/>
      <c r="P911" s="917"/>
    </row>
    <row r="912" spans="1:35" ht="15.75" hidden="1" customHeight="1">
      <c r="D912" s="903"/>
      <c r="E912" s="462" t="s">
        <v>2941</v>
      </c>
      <c r="F912" s="903"/>
      <c r="G912" s="903"/>
      <c r="H912" s="871"/>
      <c r="I912" s="904"/>
      <c r="J912" s="905"/>
      <c r="L912"/>
      <c r="M912"/>
      <c r="N912"/>
      <c r="O912"/>
    </row>
    <row r="913" spans="4:15" ht="15.75" hidden="1" customHeight="1">
      <c r="D913" s="903"/>
      <c r="E913" s="906"/>
      <c r="F913" s="903"/>
      <c r="G913" s="903"/>
      <c r="H913" s="871"/>
      <c r="I913" s="904"/>
      <c r="J913" s="905"/>
      <c r="L913"/>
      <c r="M913"/>
      <c r="N913"/>
      <c r="O913"/>
    </row>
    <row r="914" spans="4:15" ht="15.75" hidden="1" customHeight="1">
      <c r="D914" s="903"/>
      <c r="E914" s="907" t="s">
        <v>2937</v>
      </c>
      <c r="F914" s="903"/>
      <c r="G914" s="903"/>
      <c r="H914" s="871"/>
      <c r="I914" s="904"/>
      <c r="J914" s="905"/>
      <c r="L914"/>
      <c r="M914"/>
      <c r="N914"/>
      <c r="O914"/>
    </row>
    <row r="915" spans="4:15" ht="15.75" hidden="1" customHeight="1">
      <c r="D915" s="903"/>
      <c r="E915" s="907" t="s">
        <v>2938</v>
      </c>
      <c r="F915" s="903"/>
      <c r="G915" s="903"/>
      <c r="H915" s="871"/>
      <c r="I915" s="904"/>
      <c r="J915" s="905"/>
      <c r="L915"/>
      <c r="M915"/>
      <c r="N915"/>
      <c r="O915"/>
    </row>
    <row r="916" spans="4:15" ht="15.75" hidden="1" customHeight="1">
      <c r="D916" s="903"/>
      <c r="E916" s="908" t="s">
        <v>2939</v>
      </c>
      <c r="F916" s="903"/>
      <c r="G916" s="903"/>
      <c r="H916" s="871"/>
      <c r="I916" s="904"/>
      <c r="J916" s="905"/>
      <c r="L916"/>
      <c r="M916"/>
      <c r="N916"/>
      <c r="O916"/>
    </row>
    <row r="917" spans="4:15" ht="15.75" hidden="1" customHeight="1">
      <c r="D917" s="903"/>
      <c r="E917" s="903"/>
      <c r="F917" s="903"/>
      <c r="G917" s="903"/>
      <c r="H917" s="871"/>
      <c r="I917" s="904"/>
      <c r="J917" s="905"/>
      <c r="L917"/>
      <c r="M917"/>
      <c r="N917"/>
      <c r="O917"/>
    </row>
    <row r="918" spans="4:15" ht="15.75" hidden="1" customHeight="1">
      <c r="D918" s="912" t="s">
        <v>2946</v>
      </c>
      <c r="E918" s="913"/>
      <c r="F918" s="913"/>
      <c r="G918" s="913"/>
      <c r="H918" s="914"/>
      <c r="I918" s="915"/>
      <c r="J918" s="916"/>
      <c r="L918"/>
      <c r="M918"/>
      <c r="N918"/>
      <c r="O918"/>
    </row>
    <row r="919" spans="4:15" ht="15.75" hidden="1" customHeight="1">
      <c r="D919" s="910"/>
      <c r="E919" s="910" t="s">
        <v>2942</v>
      </c>
      <c r="F919" s="910" t="s">
        <v>2910</v>
      </c>
      <c r="G919" s="910" t="s">
        <v>2097</v>
      </c>
      <c r="H919" s="909" t="s">
        <v>1973</v>
      </c>
      <c r="I919" s="909" t="s">
        <v>606</v>
      </c>
      <c r="J919" s="909" t="s">
        <v>90</v>
      </c>
      <c r="L919"/>
      <c r="M919"/>
      <c r="N919"/>
      <c r="O919"/>
    </row>
    <row r="920" spans="4:15" ht="15.75" hidden="1" customHeight="1">
      <c r="D920" s="903">
        <v>1</v>
      </c>
      <c r="E920" s="903">
        <f>'Group R'!E221</f>
        <v>0</v>
      </c>
      <c r="F920" s="903">
        <f>'Group R'!F221</f>
        <v>0</v>
      </c>
      <c r="G920" s="903" t="str">
        <f>IF(AND(E920&lt;&gt;0,F920&lt;&gt;0),CONCATENATE(E920,", ",F920),"")</f>
        <v/>
      </c>
      <c r="H920" s="469" t="e">
        <f>VLOOKUP($G920,'Below Grade Walls &amp; Slabs'!$C$4:$G$127,2,FALSE)</f>
        <v>#N/A</v>
      </c>
      <c r="I920" s="469" t="e">
        <f>VLOOKUP($G920,'Below Grade Walls &amp; Slabs'!$C$4:$G$127,3,FALSE)</f>
        <v>#N/A</v>
      </c>
      <c r="J920" s="469" t="e">
        <f>VLOOKUP($G920,'Below Grade Walls &amp; Slabs'!$C$4:$G$127,4,FALSE)</f>
        <v>#N/A</v>
      </c>
      <c r="L920" s="463" t="str">
        <f>G920</f>
        <v/>
      </c>
      <c r="M920"/>
      <c r="N920"/>
      <c r="O920"/>
    </row>
    <row r="921" spans="4:15" ht="15.75" hidden="1" customHeight="1">
      <c r="D921" s="903">
        <v>2</v>
      </c>
      <c r="E921" s="903">
        <f>'Group R'!E222</f>
        <v>0</v>
      </c>
      <c r="F921" s="903">
        <f>'Group R'!F222</f>
        <v>0</v>
      </c>
      <c r="G921" s="903" t="str">
        <f>IF(AND(E921&lt;&gt;0,F921&lt;&gt;0),CONCATENATE(E921,", ",F921),"")</f>
        <v/>
      </c>
      <c r="H921" s="469" t="e">
        <f>VLOOKUP($G921,'Below Grade Walls &amp; Slabs'!$C$4:$G$127,2,FALSE)</f>
        <v>#N/A</v>
      </c>
      <c r="I921" s="469" t="e">
        <f>VLOOKUP($G921,'Below Grade Walls &amp; Slabs'!$C$4:$G$127,3,FALSE)</f>
        <v>#N/A</v>
      </c>
      <c r="J921" s="469" t="e">
        <f>VLOOKUP($G921,'Below Grade Walls &amp; Slabs'!$C$4:$G$127,4,FALSE)</f>
        <v>#N/A</v>
      </c>
      <c r="L921"/>
      <c r="M921"/>
      <c r="N921"/>
      <c r="O921"/>
    </row>
    <row r="922" spans="4:15" ht="15.75" hidden="1" customHeight="1">
      <c r="D922" s="903">
        <v>3</v>
      </c>
      <c r="E922" s="903">
        <f>'Group R'!E223</f>
        <v>0</v>
      </c>
      <c r="F922" s="903">
        <f>'Group R'!F223</f>
        <v>0</v>
      </c>
      <c r="G922" s="903" t="str">
        <f>IF(AND(E922&lt;&gt;0,F922&lt;&gt;0),CONCATENATE(E922,", ",F922),"")</f>
        <v/>
      </c>
      <c r="H922" s="469" t="e">
        <f>VLOOKUP($G922,'Below Grade Walls &amp; Slabs'!$C$4:$G$127,2,FALSE)</f>
        <v>#N/A</v>
      </c>
      <c r="I922" s="469" t="e">
        <f>VLOOKUP($G922,'Below Grade Walls &amp; Slabs'!$C$4:$G$127,3,FALSE)</f>
        <v>#N/A</v>
      </c>
      <c r="J922" s="469" t="e">
        <f>VLOOKUP($G922,'Below Grade Walls &amp; Slabs'!$C$4:$G$127,4,FALSE)</f>
        <v>#N/A</v>
      </c>
      <c r="L922"/>
      <c r="M922"/>
      <c r="N922"/>
      <c r="O922"/>
    </row>
    <row r="923" spans="4:15" ht="15.75" hidden="1" customHeight="1">
      <c r="D923" s="903">
        <v>4</v>
      </c>
      <c r="E923" s="903">
        <f>'Group R'!E224</f>
        <v>0</v>
      </c>
      <c r="F923" s="903">
        <f>'Group R'!F224</f>
        <v>0</v>
      </c>
      <c r="G923" s="903" t="str">
        <f>IF(AND(E923&lt;&gt;0,F923&lt;&gt;0),CONCATENATE(E923,", ",F923),"")</f>
        <v/>
      </c>
      <c r="H923" s="469" t="e">
        <f>VLOOKUP($G923,'Below Grade Walls &amp; Slabs'!$C$4:$G$127,2,FALSE)</f>
        <v>#N/A</v>
      </c>
      <c r="I923" s="469" t="e">
        <f>VLOOKUP($G923,'Below Grade Walls &amp; Slabs'!$C$4:$G$127,3,FALSE)</f>
        <v>#N/A</v>
      </c>
      <c r="J923" s="469" t="e">
        <f>VLOOKUP($G923,'Below Grade Walls &amp; Slabs'!$C$4:$G$127,4,FALSE)</f>
        <v>#N/A</v>
      </c>
      <c r="L923"/>
      <c r="M923"/>
      <c r="N923"/>
      <c r="O923"/>
    </row>
    <row r="924" spans="4:15" ht="15.75" hidden="1" customHeight="1">
      <c r="D924" s="903"/>
      <c r="E924" s="903"/>
      <c r="F924" s="903"/>
      <c r="G924" s="903"/>
      <c r="H924" s="871"/>
      <c r="I924" s="904"/>
      <c r="J924" s="905"/>
    </row>
    <row r="925" spans="4:15" ht="15.75" hidden="1" customHeight="1">
      <c r="D925" s="912" t="s">
        <v>2947</v>
      </c>
      <c r="E925" s="913"/>
      <c r="F925" s="913"/>
      <c r="G925" s="913"/>
      <c r="H925" s="914"/>
      <c r="I925" s="915"/>
      <c r="J925" s="916"/>
    </row>
    <row r="926" spans="4:15" ht="15.75" hidden="1" customHeight="1">
      <c r="D926" s="910"/>
      <c r="E926" s="910" t="s">
        <v>2942</v>
      </c>
      <c r="F926" s="910" t="s">
        <v>2910</v>
      </c>
      <c r="G926" s="910" t="s">
        <v>2097</v>
      </c>
      <c r="H926" s="909" t="s">
        <v>2945</v>
      </c>
      <c r="I926" s="909" t="s">
        <v>606</v>
      </c>
      <c r="J926" s="909" t="s">
        <v>90</v>
      </c>
    </row>
    <row r="927" spans="4:15" ht="15.75" hidden="1" customHeight="1">
      <c r="D927" s="903">
        <v>1</v>
      </c>
      <c r="E927" s="903">
        <f>'Group R'!T221</f>
        <v>0</v>
      </c>
      <c r="F927" s="903">
        <f>'Group R'!U221</f>
        <v>0</v>
      </c>
      <c r="G927" s="903" t="str">
        <f>IF(AND(E927&lt;&gt;0,F927&lt;&gt;0),CONCATENATE(E927,", ",F927),"")</f>
        <v/>
      </c>
      <c r="H927" s="469" t="e">
        <f>VLOOKUP($G927,'Below Grade Walls &amp; Slabs'!$C$4:$G$127,2,FALSE)</f>
        <v>#N/A</v>
      </c>
      <c r="I927" s="469" t="e">
        <f>VLOOKUP($G927,'Below Grade Walls &amp; Slabs'!$C$4:$G$127,3,FALSE)</f>
        <v>#N/A</v>
      </c>
      <c r="J927" s="469" t="e">
        <f>VLOOKUP($G927,'Below Grade Walls &amp; Slabs'!$C$4:$G$127,4,FALSE)</f>
        <v>#N/A</v>
      </c>
    </row>
    <row r="928" spans="4:15" ht="15.75" hidden="1" customHeight="1">
      <c r="D928" s="903">
        <v>2</v>
      </c>
      <c r="E928" s="903">
        <f>'Group R'!T222</f>
        <v>0</v>
      </c>
      <c r="F928" s="903">
        <f>'Group R'!U222</f>
        <v>0</v>
      </c>
      <c r="G928" s="903" t="str">
        <f>IF(AND(E928&lt;&gt;0,F928&lt;&gt;0),CONCATENATE(E928,", ",F928),"")</f>
        <v/>
      </c>
      <c r="H928" s="469" t="e">
        <f>VLOOKUP($G928,'Below Grade Walls &amp; Slabs'!$C$4:$G$127,2,FALSE)</f>
        <v>#N/A</v>
      </c>
      <c r="I928" s="469" t="e">
        <f>VLOOKUP($G928,'Below Grade Walls &amp; Slabs'!$C$4:$G$127,3,FALSE)</f>
        <v>#N/A</v>
      </c>
      <c r="J928" s="469" t="e">
        <f>VLOOKUP($G928,'Below Grade Walls &amp; Slabs'!$C$4:$G$127,4,FALSE)</f>
        <v>#N/A</v>
      </c>
    </row>
    <row r="929" spans="4:14" ht="15.75" hidden="1" customHeight="1">
      <c r="D929" s="903">
        <v>3</v>
      </c>
      <c r="E929" s="903">
        <f>'Group R'!T223</f>
        <v>0</v>
      </c>
      <c r="F929" s="903">
        <f>'Group R'!U223</f>
        <v>0</v>
      </c>
      <c r="G929" s="903" t="str">
        <f>IF(AND(E929&lt;&gt;0,F929&lt;&gt;0),CONCATENATE(E929,", ",F929),"")</f>
        <v/>
      </c>
      <c r="H929" s="469" t="e">
        <f>VLOOKUP($G929,'Below Grade Walls &amp; Slabs'!$C$4:$G$127,2,FALSE)</f>
        <v>#N/A</v>
      </c>
      <c r="I929" s="469" t="e">
        <f>VLOOKUP($G929,'Below Grade Walls &amp; Slabs'!$C$4:$G$127,3,FALSE)</f>
        <v>#N/A</v>
      </c>
      <c r="J929" s="469" t="e">
        <f>VLOOKUP($G929,'Below Grade Walls &amp; Slabs'!$C$4:$G$127,4,FALSE)</f>
        <v>#N/A</v>
      </c>
    </row>
    <row r="930" spans="4:14" ht="15.75" hidden="1" customHeight="1">
      <c r="D930" s="903">
        <v>4</v>
      </c>
      <c r="E930" s="903">
        <f>'Group R'!T224</f>
        <v>0</v>
      </c>
      <c r="F930" s="903">
        <f>'Group R'!U224</f>
        <v>0</v>
      </c>
      <c r="G930" s="903" t="str">
        <f>IF(AND(E930&lt;&gt;0,F930&lt;&gt;0),CONCATENATE(E930,", ",F930),"")</f>
        <v/>
      </c>
      <c r="H930" s="469" t="e">
        <f>VLOOKUP($G930,'Below Grade Walls &amp; Slabs'!$C$4:$G$127,2,FALSE)</f>
        <v>#N/A</v>
      </c>
      <c r="I930" s="469" t="e">
        <f>VLOOKUP($G930,'Below Grade Walls &amp; Slabs'!$C$4:$G$127,3,FALSE)</f>
        <v>#N/A</v>
      </c>
      <c r="J930" s="469" t="e">
        <f>VLOOKUP($G930,'Below Grade Walls &amp; Slabs'!$C$4:$G$127,4,FALSE)</f>
        <v>#N/A</v>
      </c>
    </row>
    <row r="931" spans="4:14" ht="15.75" hidden="1" customHeight="1">
      <c r="D931" s="903"/>
      <c r="E931" s="903"/>
      <c r="F931" s="903"/>
      <c r="G931" s="903"/>
      <c r="H931" s="871"/>
      <c r="I931" s="904"/>
      <c r="J931" s="905"/>
    </row>
    <row r="932" spans="4:14" ht="15.75" hidden="1" customHeight="1">
      <c r="D932" s="912" t="s">
        <v>2948</v>
      </c>
      <c r="E932" s="913"/>
      <c r="F932" s="913"/>
      <c r="G932" s="913"/>
      <c r="H932" s="914"/>
      <c r="I932" s="915"/>
      <c r="J932" s="916"/>
    </row>
    <row r="933" spans="4:14" ht="15.75" hidden="1" customHeight="1">
      <c r="D933" s="910"/>
      <c r="E933" s="910" t="s">
        <v>2391</v>
      </c>
      <c r="F933" s="910" t="s">
        <v>2910</v>
      </c>
      <c r="G933" s="910" t="s">
        <v>2097</v>
      </c>
      <c r="H933" s="909" t="s">
        <v>2945</v>
      </c>
      <c r="I933" s="909" t="s">
        <v>606</v>
      </c>
      <c r="J933" s="922" t="s">
        <v>90</v>
      </c>
      <c r="K933" s="107" t="s">
        <v>1343</v>
      </c>
      <c r="L933" s="107" t="s">
        <v>2950</v>
      </c>
      <c r="M933" s="107" t="s">
        <v>1344</v>
      </c>
      <c r="N933" s="107" t="s">
        <v>2178</v>
      </c>
    </row>
    <row r="934" spans="4:14" ht="15.75" hidden="1" customHeight="1">
      <c r="D934" s="903">
        <v>1</v>
      </c>
      <c r="E934" s="921" t="str">
        <f>IF(Menu_CodeVersion=$E$940,$E$941,$E$943)</f>
        <v>R21 Batt w/TB</v>
      </c>
      <c r="F934" s="903">
        <f>F920</f>
        <v>0</v>
      </c>
      <c r="G934" s="903" t="str">
        <f>IF(AND(E934&lt;&gt;0,F934&lt;&gt;0),CONCATENATE(E934,", ",F934),"")</f>
        <v/>
      </c>
      <c r="H934" s="469" t="e">
        <f>VLOOKUP($G934,'Below Grade Walls &amp; Slabs'!$C$4:$G$127,2,FALSE)</f>
        <v>#N/A</v>
      </c>
      <c r="I934" s="469" t="str">
        <f>IFERROR(VLOOKUP($G934,'Below Grade Walls &amp; Slabs'!$C$4:$G$127,3,FALSE),"")</f>
        <v/>
      </c>
      <c r="J934" s="923" t="str">
        <f>IFERROR(VLOOKUP($G934,'Below Grade Walls &amp; Slabs'!$C$4:$G$127,4,FALSE),"")</f>
        <v/>
      </c>
      <c r="K934" s="76" t="str">
        <f>IF(I221="","",I221)</f>
        <v/>
      </c>
      <c r="L934" s="76" t="str">
        <f>IF(M221="","",M221)</f>
        <v/>
      </c>
      <c r="M934" s="76" t="str">
        <f>IFERROR(K934*I934,"")</f>
        <v/>
      </c>
      <c r="N934" s="76" t="str">
        <f>IFERROR(L934*J934,"")</f>
        <v/>
      </c>
    </row>
    <row r="935" spans="4:14" ht="15.75" hidden="1" customHeight="1">
      <c r="D935" s="903">
        <v>2</v>
      </c>
      <c r="E935" s="921" t="str">
        <f>IF(Menu_CodeVersion=$E$940,$E$941,$E$943)</f>
        <v>R21 Batt w/TB</v>
      </c>
      <c r="F935" s="903">
        <f>F921</f>
        <v>0</v>
      </c>
      <c r="G935" s="903" t="str">
        <f>IF(AND(E935&lt;&gt;0,F935&lt;&gt;0),CONCATENATE(E935,", ",F935),"")</f>
        <v/>
      </c>
      <c r="H935" s="469" t="e">
        <f>VLOOKUP($G935,'Below Grade Walls &amp; Slabs'!$C$4:$G$127,2,FALSE)</f>
        <v>#N/A</v>
      </c>
      <c r="I935" s="469" t="str">
        <f>IFERROR(VLOOKUP($G935,'Below Grade Walls &amp; Slabs'!$C$4:$G$127,3,FALSE),"")</f>
        <v/>
      </c>
      <c r="J935" s="923" t="str">
        <f>IFERROR(VLOOKUP($G935,'Below Grade Walls &amp; Slabs'!$C$4:$G$127,4,FALSE),"")</f>
        <v/>
      </c>
      <c r="K935" s="76" t="str">
        <f>IF(I222="","",I222)</f>
        <v/>
      </c>
      <c r="L935" s="76" t="str">
        <f>IF(M222="","",M222)</f>
        <v/>
      </c>
      <c r="M935" s="76" t="str">
        <f t="shared" ref="M935:M937" si="151">IFERROR(K935*I935,"")</f>
        <v/>
      </c>
      <c r="N935" s="76" t="str">
        <f t="shared" ref="N935:N937" si="152">IFERROR(L935*J935,"")</f>
        <v/>
      </c>
    </row>
    <row r="936" spans="4:14" ht="15.75" hidden="1" customHeight="1">
      <c r="D936" s="903">
        <v>3</v>
      </c>
      <c r="E936" s="921" t="str">
        <f>IF(Menu_CodeVersion=$E$940,$E$941,$E$943)</f>
        <v>R21 Batt w/TB</v>
      </c>
      <c r="F936" s="903">
        <f>F922</f>
        <v>0</v>
      </c>
      <c r="G936" s="903" t="str">
        <f>IF(AND(E936&lt;&gt;0,F936&lt;&gt;0),CONCATENATE(E936,", ",F936),"")</f>
        <v/>
      </c>
      <c r="H936" s="469" t="e">
        <f>VLOOKUP($G936,'Below Grade Walls &amp; Slabs'!$C$4:$G$127,2,FALSE)</f>
        <v>#N/A</v>
      </c>
      <c r="I936" s="469" t="str">
        <f>IFERROR(VLOOKUP($G936,'Below Grade Walls &amp; Slabs'!$C$4:$G$127,3,FALSE),"")</f>
        <v/>
      </c>
      <c r="J936" s="923" t="str">
        <f>IFERROR(VLOOKUP($G936,'Below Grade Walls &amp; Slabs'!$C$4:$G$127,4,FALSE),"")</f>
        <v/>
      </c>
      <c r="K936" s="76" t="str">
        <f>IF(I223="","",I223)</f>
        <v/>
      </c>
      <c r="L936" s="76" t="str">
        <f>IF(M223="","",M223)</f>
        <v/>
      </c>
      <c r="M936" s="76" t="str">
        <f t="shared" si="151"/>
        <v/>
      </c>
      <c r="N936" s="76" t="str">
        <f t="shared" si="152"/>
        <v/>
      </c>
    </row>
    <row r="937" spans="4:14" ht="15.75" hidden="1" customHeight="1">
      <c r="D937" s="903">
        <v>4</v>
      </c>
      <c r="E937" s="921" t="str">
        <f>IF(Menu_CodeVersion=$E$940,$E$941,$E$943)</f>
        <v>R21 Batt w/TB</v>
      </c>
      <c r="F937" s="903">
        <f>F923</f>
        <v>0</v>
      </c>
      <c r="G937" s="903" t="str">
        <f>IF(AND(E937&lt;&gt;0,F937&lt;&gt;0),CONCATENATE(E937,", ",F937),"")</f>
        <v/>
      </c>
      <c r="H937" s="469" t="e">
        <f>VLOOKUP($G937,'Below Grade Walls &amp; Slabs'!$C$4:$G$127,2,FALSE)</f>
        <v>#N/A</v>
      </c>
      <c r="I937" s="469" t="str">
        <f>IFERROR(VLOOKUP($G937,'Below Grade Walls &amp; Slabs'!$C$4:$G$127,3,FALSE),"")</f>
        <v/>
      </c>
      <c r="J937" s="923" t="str">
        <f>IFERROR(VLOOKUP($G937,'Below Grade Walls &amp; Slabs'!$C$4:$G$127,4,FALSE),"")</f>
        <v/>
      </c>
      <c r="K937" s="76" t="str">
        <f>IF(I224="","",I224)</f>
        <v/>
      </c>
      <c r="L937" s="76" t="str">
        <f>IF(M224="","",M224)</f>
        <v/>
      </c>
      <c r="M937" s="76" t="str">
        <f t="shared" si="151"/>
        <v/>
      </c>
      <c r="N937" s="76" t="str">
        <f t="shared" si="152"/>
        <v/>
      </c>
    </row>
    <row r="938" spans="4:14" ht="15.75" hidden="1" customHeight="1">
      <c r="K938" s="76"/>
      <c r="L938" s="924" t="s">
        <v>2951</v>
      </c>
      <c r="M938" s="925" t="str">
        <f>IFERROR(SUM(M934:M937)/SUM(K934:K937),"N/A")</f>
        <v>N/A</v>
      </c>
      <c r="N938" s="925" t="str">
        <f>IFERROR(SUM(N934:N937)/SUM(L934:L937),"N/A")</f>
        <v>N/A</v>
      </c>
    </row>
    <row r="939" spans="4:14" ht="15.75" hidden="1" customHeight="1"/>
    <row r="940" spans="4:14" ht="15.75" hidden="1" customHeight="1">
      <c r="E940" s="96" t="str">
        <f>$K$399</f>
        <v>WSEC 2021</v>
      </c>
    </row>
    <row r="941" spans="4:14" ht="15.75" hidden="1" customHeight="1">
      <c r="E941" s="919" t="str">
        <f>'Below Grade Walls &amp; Slabs'!C189</f>
        <v>R21 Batt w/TB</v>
      </c>
    </row>
    <row r="942" spans="4:14" ht="15.75" hidden="1" customHeight="1">
      <c r="E942" s="96" t="str">
        <f>$K$400</f>
        <v>WSEC 2018</v>
      </c>
    </row>
    <row r="943" spans="4:14" ht="15.75" hidden="1" customHeight="1">
      <c r="E943" s="919" t="str">
        <f>'Below Grade Walls &amp; Slabs'!C189</f>
        <v>R21 Batt w/TB</v>
      </c>
    </row>
    <row r="944" spans="4:14" ht="15.75" hidden="1" customHeight="1"/>
    <row r="945" ht="15.75" hidden="1" customHeight="1"/>
    <row r="946" ht="15.75" hidden="1" customHeight="1"/>
    <row r="947" ht="15.75" hidden="1" customHeight="1"/>
    <row r="948" ht="15.75" hidden="1" customHeight="1"/>
    <row r="949" ht="15.75" hidden="1" customHeight="1"/>
    <row r="950" ht="15.75" hidden="1" customHeight="1"/>
    <row r="951" ht="15.75" hidden="1" customHeight="1"/>
    <row r="952" ht="15.75" hidden="1" customHeight="1"/>
    <row r="953" ht="15.75" hidden="1" customHeight="1"/>
    <row r="954" ht="15.75" hidden="1" customHeight="1"/>
    <row r="955" ht="15.75" hidden="1" customHeight="1"/>
    <row r="956" ht="15.75" hidden="1" customHeight="1"/>
    <row r="957" ht="15.75" hidden="1" customHeight="1"/>
    <row r="958" ht="15.75" hidden="1" customHeight="1"/>
    <row r="959" ht="15.75" hidden="1" customHeight="1"/>
    <row r="960" ht="15.75" hidden="1" customHeight="1"/>
    <row r="961" ht="15.75" hidden="1" customHeight="1"/>
    <row r="962" ht="15.75" hidden="1" customHeight="1"/>
    <row r="963" ht="15.75" hidden="1" customHeight="1"/>
    <row r="964" ht="15.75" hidden="1" customHeight="1"/>
    <row r="965" ht="15.75" hidden="1" customHeight="1"/>
    <row r="966" ht="15.75" hidden="1" customHeight="1"/>
    <row r="967" ht="15.75" hidden="1" customHeight="1"/>
    <row r="968" ht="15.75" hidden="1" customHeight="1"/>
    <row r="969" ht="15.75" hidden="1" customHeight="1"/>
    <row r="970" ht="15.75" hidden="1" customHeight="1"/>
    <row r="971" ht="15.75" hidden="1" customHeight="1"/>
    <row r="972" ht="15.75" hidden="1" customHeight="1"/>
    <row r="973" ht="15.75" hidden="1" customHeight="1"/>
    <row r="974" ht="15.75" hidden="1" customHeight="1"/>
    <row r="975" ht="15.75" hidden="1" customHeight="1"/>
    <row r="976" ht="15.75" hidden="1" customHeight="1"/>
    <row r="977" ht="15.75" hidden="1" customHeight="1"/>
    <row r="978" ht="15.75" hidden="1" customHeight="1"/>
    <row r="979" ht="15.75" hidden="1" customHeight="1"/>
    <row r="980" ht="15.75" hidden="1" customHeight="1"/>
    <row r="981" ht="15.75" hidden="1" customHeight="1"/>
    <row r="982" ht="15.75" hidden="1" customHeight="1"/>
    <row r="983" ht="15.75" hidden="1" customHeight="1"/>
    <row r="984" ht="15.75" hidden="1" customHeight="1"/>
    <row r="985" ht="15.75" hidden="1" customHeight="1"/>
    <row r="986" ht="15.75" hidden="1" customHeight="1"/>
    <row r="987" ht="15.75" hidden="1" customHeight="1"/>
    <row r="988" ht="15.75" hidden="1" customHeight="1"/>
    <row r="989" ht="15.75" hidden="1" customHeight="1"/>
    <row r="990" ht="15.75" hidden="1" customHeight="1"/>
    <row r="991" ht="15.75" hidden="1" customHeight="1"/>
    <row r="992" ht="15.75" hidden="1" customHeight="1"/>
    <row r="993" ht="15.75" hidden="1" customHeight="1"/>
    <row r="994" ht="15.75" hidden="1" customHeight="1"/>
    <row r="995" ht="15.75" hidden="1" customHeight="1"/>
    <row r="996" ht="15.75" hidden="1" customHeight="1"/>
    <row r="997" ht="15.75" hidden="1" customHeight="1"/>
    <row r="998" ht="15.75" hidden="1" customHeight="1"/>
    <row r="999" ht="15.75" hidden="1" customHeight="1"/>
    <row r="1000" ht="15.75" hidden="1" customHeight="1"/>
    <row r="1001" ht="15.75" hidden="1" customHeight="1"/>
    <row r="1002" ht="15.75" hidden="1" customHeight="1"/>
    <row r="1003" ht="15.75" hidden="1" customHeight="1"/>
    <row r="1004" ht="15.75" hidden="1" customHeight="1"/>
    <row r="1005" ht="15.75" hidden="1" customHeight="1"/>
    <row r="1006" ht="15.75" hidden="1" customHeight="1"/>
    <row r="1007" ht="15.75" hidden="1" customHeight="1"/>
    <row r="1008" ht="15.75" hidden="1" customHeight="1"/>
    <row r="1009" ht="15.75" hidden="1" customHeight="1"/>
    <row r="1010" ht="15.75" hidden="1" customHeight="1"/>
    <row r="1011" ht="15.75" hidden="1" customHeight="1"/>
    <row r="1012" ht="15.75" hidden="1" customHeight="1"/>
    <row r="1013" ht="15.75" hidden="1" customHeight="1"/>
    <row r="1014" ht="15.75" hidden="1" customHeight="1"/>
    <row r="1015" ht="15.75" hidden="1" customHeight="1"/>
    <row r="1016" ht="15.75" hidden="1" customHeight="1"/>
    <row r="1017" ht="15.75" hidden="1" customHeight="1"/>
    <row r="1018" ht="15.75" hidden="1" customHeight="1"/>
    <row r="1019" ht="15.75" hidden="1" customHeight="1"/>
    <row r="1020" ht="15.75" hidden="1" customHeight="1"/>
    <row r="1021" ht="15.75" hidden="1" customHeight="1"/>
    <row r="1022" ht="15.75" hidden="1" customHeight="1"/>
    <row r="1023" ht="15.75" hidden="1" customHeight="1"/>
    <row r="1024" ht="15.75" hidden="1" customHeight="1"/>
    <row r="1025" ht="15.75" hidden="1" customHeight="1"/>
    <row r="1026" ht="15.75" hidden="1" customHeight="1"/>
    <row r="1027" ht="15.75" hidden="1" customHeight="1"/>
    <row r="1028" ht="15.75" hidden="1" customHeight="1"/>
    <row r="1029" ht="15.75" hidden="1" customHeight="1"/>
    <row r="1030" ht="15.75" hidden="1" customHeight="1"/>
    <row r="1031" ht="15.75" hidden="1" customHeight="1"/>
    <row r="1032" ht="15.75" hidden="1" customHeight="1"/>
    <row r="1033" ht="15.75" hidden="1" customHeight="1"/>
    <row r="1034" ht="15.75" hidden="1" customHeight="1"/>
    <row r="1035" ht="15.75" hidden="1" customHeight="1"/>
    <row r="1036" ht="15.75" hidden="1" customHeight="1"/>
    <row r="1037" ht="15.75" hidden="1" customHeight="1"/>
    <row r="1038" ht="15.75" hidden="1" customHeight="1"/>
    <row r="1039" ht="15.75" hidden="1" customHeight="1"/>
    <row r="1040" ht="15.75" hidden="1" customHeight="1"/>
    <row r="1041" ht="15.75" hidden="1" customHeight="1"/>
    <row r="1042" ht="15.75" hidden="1" customHeight="1"/>
    <row r="1043" ht="15.75" hidden="1" customHeight="1"/>
    <row r="1044" ht="15.75" hidden="1" customHeight="1"/>
    <row r="1045" ht="15.75" hidden="1" customHeight="1"/>
    <row r="1046" ht="15.75" hidden="1" customHeight="1"/>
    <row r="1047" ht="15.75" hidden="1" customHeight="1"/>
    <row r="1048" ht="15.75" hidden="1" customHeight="1"/>
    <row r="1049" ht="15.75" hidden="1" customHeight="1"/>
    <row r="1050" ht="15.75" hidden="1" customHeight="1"/>
    <row r="1051" ht="15.75" hidden="1" customHeight="1"/>
    <row r="1052" ht="15.75" hidden="1" customHeight="1"/>
    <row r="1053" ht="15.75" hidden="1" customHeight="1"/>
    <row r="1054" ht="15.75" hidden="1" customHeight="1"/>
    <row r="1055" ht="15.75" hidden="1" customHeight="1"/>
    <row r="1056" ht="15.75" hidden="1" customHeight="1"/>
    <row r="1057" ht="15.75" hidden="1" customHeight="1"/>
    <row r="1058" ht="15.75" hidden="1" customHeight="1"/>
    <row r="1059" ht="15.75" hidden="1" customHeight="1"/>
    <row r="1060" ht="15.75" hidden="1" customHeight="1"/>
    <row r="1061" ht="15.75" hidden="1" customHeight="1"/>
    <row r="1062" ht="15.75" hidden="1" customHeight="1"/>
    <row r="1063" ht="15.75" hidden="1" customHeight="1"/>
    <row r="1064" ht="15.75" hidden="1" customHeight="1"/>
    <row r="1065" ht="15.75" hidden="1" customHeight="1"/>
    <row r="1066" ht="15.75" hidden="1" customHeight="1"/>
    <row r="1067" ht="15.75" hidden="1" customHeight="1"/>
    <row r="1068" ht="15.75" hidden="1" customHeight="1"/>
    <row r="1069" ht="15.75" hidden="1" customHeight="1"/>
    <row r="1070" ht="15.75" hidden="1" customHeight="1"/>
    <row r="1071" ht="15.75" hidden="1" customHeight="1"/>
    <row r="1072" ht="15.75" hidden="1" customHeight="1"/>
    <row r="1073" ht="15.75" hidden="1" customHeight="1"/>
    <row r="1074" ht="15.75" hidden="1" customHeight="1"/>
    <row r="1075" ht="15.75" hidden="1" customHeight="1"/>
    <row r="1076" ht="15.75" hidden="1" customHeight="1"/>
    <row r="1077" ht="15.75" hidden="1" customHeight="1"/>
    <row r="1078" ht="15.75" hidden="1" customHeight="1"/>
    <row r="1079" ht="15.75" hidden="1" customHeight="1"/>
    <row r="1080" ht="15.75" hidden="1" customHeight="1"/>
    <row r="1081" ht="15.75" hidden="1" customHeight="1"/>
    <row r="1082" ht="15.75" hidden="1" customHeight="1"/>
    <row r="1083" ht="15.75" hidden="1" customHeight="1"/>
    <row r="1084" ht="15.75" hidden="1" customHeight="1"/>
    <row r="1085" ht="15.75" hidden="1" customHeight="1"/>
    <row r="1086" ht="15.75" hidden="1" customHeight="1"/>
    <row r="1087" ht="15.75" hidden="1" customHeight="1"/>
    <row r="1088" ht="15.75" hidden="1" customHeight="1"/>
    <row r="1089" ht="15.75" hidden="1" customHeight="1"/>
    <row r="1090" ht="15.75" hidden="1" customHeight="1"/>
    <row r="1091" ht="15.75" hidden="1" customHeight="1"/>
    <row r="1092" ht="15.75" hidden="1" customHeight="1"/>
    <row r="1093" ht="15.75" hidden="1" customHeight="1"/>
    <row r="1094" ht="15.75" hidden="1" customHeight="1"/>
    <row r="1095" ht="15.75" hidden="1" customHeight="1"/>
    <row r="1096" ht="15.75" hidden="1" customHeight="1"/>
    <row r="1097" ht="15.75" hidden="1" customHeight="1"/>
    <row r="1098" ht="15.75" hidden="1" customHeight="1"/>
    <row r="1099" ht="15.75" hidden="1" customHeight="1"/>
    <row r="1100" ht="15.75" hidden="1" customHeight="1"/>
    <row r="1101" ht="15.75" hidden="1" customHeight="1"/>
    <row r="1102" ht="15.75" hidden="1" customHeight="1"/>
    <row r="1103" ht="15.75" hidden="1" customHeight="1"/>
    <row r="1104" ht="15.75" hidden="1" customHeight="1"/>
    <row r="1105" ht="15.75" hidden="1" customHeight="1"/>
    <row r="1106" ht="15.75" hidden="1" customHeight="1"/>
    <row r="1107" ht="15.75" hidden="1" customHeight="1"/>
    <row r="1108" ht="15.75" hidden="1" customHeight="1"/>
    <row r="1109" ht="15.75" hidden="1" customHeight="1"/>
    <row r="1110" ht="15.75" hidden="1" customHeight="1"/>
    <row r="1111" ht="15.75" hidden="1" customHeight="1"/>
    <row r="1112" ht="15.75" hidden="1" customHeight="1"/>
    <row r="1113" ht="15.75" hidden="1" customHeight="1"/>
    <row r="1114" ht="15.75" hidden="1" customHeight="1"/>
    <row r="1115" ht="15.75" hidden="1" customHeight="1"/>
    <row r="1116" ht="15.75" hidden="1" customHeight="1"/>
    <row r="1117" ht="15.75" hidden="1" customHeight="1"/>
    <row r="1118" ht="15.75" hidden="1" customHeight="1"/>
    <row r="1119" ht="15.75" hidden="1" customHeight="1"/>
    <row r="1120" ht="15.75" hidden="1" customHeight="1"/>
    <row r="1121" ht="15.75" hidden="1" customHeight="1"/>
    <row r="1122" ht="15.75" hidden="1" customHeight="1"/>
    <row r="1123" ht="15.75" hidden="1" customHeight="1"/>
    <row r="1124" ht="15.75" hidden="1" customHeight="1"/>
    <row r="1125" ht="15.75" hidden="1" customHeight="1"/>
    <row r="1126" ht="15.75" hidden="1" customHeight="1"/>
    <row r="1127" ht="15.75" hidden="1" customHeight="1"/>
    <row r="1128" ht="15.75" hidden="1" customHeight="1"/>
    <row r="1129" ht="15.75" hidden="1" customHeight="1"/>
    <row r="1130" ht="15.75" hidden="1" customHeight="1"/>
    <row r="1131" ht="15.75" hidden="1" customHeight="1"/>
    <row r="1132" ht="15.75" hidden="1" customHeight="1"/>
    <row r="1133" ht="15.75" hidden="1" customHeight="1"/>
    <row r="1134" ht="15.75" hidden="1" customHeight="1"/>
    <row r="1135" ht="15.75" hidden="1" customHeight="1"/>
    <row r="1136" ht="15.75" hidden="1" customHeight="1"/>
    <row r="1137" ht="15.75" hidden="1" customHeight="1"/>
    <row r="1138" ht="15.75" hidden="1" customHeight="1"/>
    <row r="1139" ht="15.75" hidden="1" customHeight="1"/>
    <row r="1140" ht="15.75" hidden="1" customHeight="1"/>
    <row r="1141" ht="15.75" hidden="1" customHeight="1"/>
    <row r="1142" ht="15.75" hidden="1" customHeight="1"/>
    <row r="1143" ht="15.75" hidden="1" customHeight="1"/>
    <row r="1144" ht="15.75" hidden="1" customHeight="1"/>
    <row r="1145" ht="15.75" hidden="1" customHeight="1"/>
    <row r="1146" ht="15.75" hidden="1" customHeight="1"/>
    <row r="1147" ht="15.75" hidden="1" customHeight="1"/>
    <row r="1148" ht="15.75" hidden="1" customHeight="1"/>
    <row r="1149" ht="15.75" hidden="1" customHeight="1"/>
    <row r="1150" ht="15.75" hidden="1" customHeight="1"/>
    <row r="1151" ht="15.75" hidden="1" customHeight="1"/>
    <row r="1152" ht="15.75" hidden="1" customHeight="1"/>
    <row r="1153" ht="15.75" hidden="1" customHeight="1"/>
    <row r="1154" ht="15.75" hidden="1" customHeight="1"/>
    <row r="1155" ht="15.75" hidden="1" customHeight="1"/>
    <row r="1156" ht="15.75" hidden="1" customHeight="1"/>
    <row r="1157" ht="15.75" hidden="1" customHeight="1"/>
    <row r="1158" ht="15.75" hidden="1" customHeight="1"/>
    <row r="1159" ht="15.75" hidden="1" customHeight="1"/>
    <row r="1160" ht="15.75" hidden="1" customHeight="1"/>
    <row r="1161" ht="15.75" hidden="1" customHeight="1"/>
    <row r="1162" ht="15.75" hidden="1" customHeight="1"/>
    <row r="1163" ht="15.75" hidden="1" customHeight="1"/>
    <row r="1164" ht="15.75" hidden="1" customHeight="1"/>
    <row r="1165" ht="15.75" hidden="1" customHeight="1"/>
    <row r="1166" ht="15.75" hidden="1" customHeight="1"/>
    <row r="1167" ht="15.75" hidden="1" customHeight="1"/>
    <row r="1168" ht="15.75" hidden="1" customHeight="1"/>
    <row r="1169" ht="15.75" hidden="1" customHeight="1"/>
    <row r="1170" ht="15.75" hidden="1" customHeight="1"/>
    <row r="1171" ht="15.75" hidden="1" customHeight="1"/>
    <row r="1172" ht="15.75" hidden="1" customHeight="1"/>
    <row r="1173" ht="15.75" hidden="1" customHeight="1"/>
    <row r="1174" ht="15.75" hidden="1" customHeight="1"/>
    <row r="1175" ht="15.75" hidden="1" customHeight="1"/>
    <row r="1176" ht="15.75" hidden="1" customHeight="1"/>
    <row r="1177" ht="15.75" hidden="1" customHeight="1"/>
    <row r="1178" ht="15.75" hidden="1" customHeight="1"/>
    <row r="1179" ht="15.75" hidden="1" customHeight="1"/>
    <row r="1180" ht="15.75" hidden="1" customHeight="1"/>
    <row r="1181" ht="15.75" hidden="1" customHeight="1"/>
    <row r="1182" ht="15.75" hidden="1" customHeight="1"/>
    <row r="1183" ht="15.75" hidden="1" customHeight="1"/>
    <row r="1184" ht="15.75" hidden="1" customHeight="1"/>
    <row r="1185" ht="15.75" hidden="1" customHeight="1"/>
    <row r="1186" ht="15.75" hidden="1" customHeight="1"/>
    <row r="1187" ht="15.75" hidden="1" customHeight="1"/>
    <row r="1188" ht="15.75" hidden="1" customHeight="1"/>
    <row r="1189" ht="15.75" hidden="1" customHeight="1"/>
    <row r="1190" ht="15.75" hidden="1" customHeight="1"/>
    <row r="1191" ht="15.75" hidden="1" customHeight="1"/>
    <row r="1192" ht="15.75" hidden="1" customHeight="1"/>
    <row r="1193" ht="15.75" hidden="1" customHeight="1"/>
    <row r="1194" ht="15.75" hidden="1" customHeight="1"/>
    <row r="1195" ht="15.75" hidden="1" customHeight="1"/>
    <row r="1196" ht="15.75" hidden="1" customHeight="1"/>
    <row r="1197" ht="15.75" hidden="1" customHeight="1"/>
    <row r="1198" ht="15.75" hidden="1" customHeight="1"/>
    <row r="1199" ht="15.75" hidden="1" customHeight="1"/>
    <row r="1200" ht="15.75" hidden="1" customHeight="1"/>
    <row r="1201" ht="15.75" hidden="1" customHeight="1"/>
    <row r="1202" ht="15.75" hidden="1" customHeight="1"/>
    <row r="1203" ht="15.75" hidden="1" customHeight="1"/>
    <row r="1204" ht="15.75" hidden="1" customHeight="1"/>
    <row r="1205" ht="15.75" hidden="1" customHeight="1"/>
    <row r="1206" ht="15.75" hidden="1" customHeight="1"/>
    <row r="1207" ht="15.75" hidden="1" customHeight="1"/>
    <row r="1208" ht="15.75" hidden="1" customHeight="1"/>
    <row r="1209" ht="15.75" hidden="1" customHeight="1"/>
    <row r="1210" ht="15.75" hidden="1" customHeight="1"/>
    <row r="1211" ht="15.75" hidden="1" customHeight="1"/>
    <row r="1212" ht="15.75" hidden="1" customHeight="1"/>
    <row r="1213" ht="15.75" hidden="1" customHeight="1"/>
    <row r="1214" ht="15.75" hidden="1" customHeight="1"/>
    <row r="1215" ht="15.75" hidden="1" customHeight="1"/>
    <row r="1216" ht="15.75" hidden="1" customHeight="1"/>
    <row r="1217" ht="15.75" hidden="1" customHeight="1"/>
    <row r="1218" ht="15.75" hidden="1" customHeight="1"/>
    <row r="1219" ht="15.75" hidden="1" customHeight="1"/>
    <row r="1220" ht="15.75" hidden="1" customHeight="1"/>
    <row r="1221" ht="15.75" hidden="1" customHeight="1"/>
    <row r="1222" ht="15.75" hidden="1" customHeight="1"/>
    <row r="1223" ht="15.75" hidden="1" customHeight="1"/>
    <row r="1224" ht="15.75" hidden="1" customHeight="1"/>
    <row r="1225" ht="15.75" hidden="1" customHeight="1"/>
    <row r="1226" ht="15.75" hidden="1" customHeight="1"/>
    <row r="1227" ht="15.75" hidden="1" customHeight="1"/>
    <row r="1228" ht="15.75" hidden="1" customHeight="1"/>
    <row r="1229" ht="15.75" hidden="1" customHeight="1"/>
    <row r="1230" ht="15.75" hidden="1" customHeight="1"/>
    <row r="1231" ht="15.75" hidden="1" customHeight="1"/>
    <row r="1232" ht="15.75" hidden="1" customHeight="1"/>
    <row r="1233" ht="15.75" hidden="1" customHeight="1"/>
    <row r="1234" ht="15.75" hidden="1" customHeight="1"/>
    <row r="1235" ht="15.75" hidden="1" customHeight="1"/>
    <row r="1236" ht="15.75" hidden="1" customHeight="1"/>
    <row r="1237" ht="15.75" hidden="1" customHeight="1"/>
    <row r="1238" ht="15.75" hidden="1" customHeight="1"/>
    <row r="1239" ht="15.75" hidden="1" customHeight="1"/>
    <row r="1240" ht="15.75" hidden="1" customHeight="1"/>
    <row r="1241" ht="15.75" hidden="1" customHeight="1"/>
    <row r="1242" ht="15.75" hidden="1" customHeight="1"/>
  </sheetData>
  <sheetProtection algorithmName="SHA-512" hashValue="0CBeQe96avaPyMmEXP3fQm3gBCaaeWE/bTTzE37lbkk6ARpclsh9wqM4YKPMWM1rhs6OnTxY2YzyJxiZp+fItA==" saltValue="u/VgbP6SpNyaR0bzyzgJwg==" spinCount="100000" sheet="1" objects="1" scenarios="1" insertHyperlinks="0" selectLockedCells="1" pivotTables="0"/>
  <customSheetViews>
    <customSheetView guid="{3A20BFFC-9D9E-415D-AC5D-1CC81DA9B04C}" printArea="1" hiddenColumns="1" topLeftCell="A253">
      <selection activeCell="F266" sqref="F266"/>
      <rowBreaks count="5" manualBreakCount="5">
        <brk id="44" max="10" man="1"/>
        <brk id="119" max="10" man="1"/>
        <brk id="165" max="10" man="1"/>
        <brk id="204" max="10" man="1"/>
        <brk id="234" max="10" man="1"/>
      </rowBreaks>
      <pageMargins left="0.5" right="0.5" top="1" bottom="1" header="0.5" footer="0.5"/>
      <pageSetup scale="89" orientation="portrait" cellComments="asDisplayed" r:id="rId1"/>
      <headerFooter alignWithMargins="0">
        <oddHeader>&amp;L&amp;"Arial,Bold"Washington State Energy Code: Component Performance Worksheet
Zone 1, Type R-3 and R4 only</oddHeader>
        <oddFooter>&amp;L&amp;8Copyright 2007, WSUEEP07-012 (Version 6) Copied by permission from Washington State University Cooperative Extension Energy Program.  (see copyright restrictions)
&amp;C &amp;R&amp;8&amp;D      &amp;P of &amp;N</oddFooter>
      </headerFooter>
    </customSheetView>
  </customSheetViews>
  <mergeCells count="189">
    <mergeCell ref="C46:D46"/>
    <mergeCell ref="C47:D47"/>
    <mergeCell ref="K30:L30"/>
    <mergeCell ref="K36:L36"/>
    <mergeCell ref="J51:K51"/>
    <mergeCell ref="L50:P50"/>
    <mergeCell ref="J52:K52"/>
    <mergeCell ref="E50:G50"/>
    <mergeCell ref="H46:K46"/>
    <mergeCell ref="J50:K50"/>
    <mergeCell ref="H52:I52"/>
    <mergeCell ref="L46:M46"/>
    <mergeCell ref="D45:N45"/>
    <mergeCell ref="L47:M47"/>
    <mergeCell ref="H47:K47"/>
    <mergeCell ref="D49:N49"/>
    <mergeCell ref="N46:O46"/>
    <mergeCell ref="H50:I50"/>
    <mergeCell ref="H51:I51"/>
    <mergeCell ref="L51:P51"/>
    <mergeCell ref="L52:P52"/>
    <mergeCell ref="C50:D50"/>
    <mergeCell ref="C52:D52"/>
    <mergeCell ref="E52:G52"/>
    <mergeCell ref="F282:I282"/>
    <mergeCell ref="M2:N2"/>
    <mergeCell ref="O2:P2"/>
    <mergeCell ref="K31:L31"/>
    <mergeCell ref="K32:L32"/>
    <mergeCell ref="K33:L33"/>
    <mergeCell ref="K34:L34"/>
    <mergeCell ref="K35:L35"/>
    <mergeCell ref="K37:L37"/>
    <mergeCell ref="K27:N27"/>
    <mergeCell ref="F17:L17"/>
    <mergeCell ref="K28:L28"/>
    <mergeCell ref="F27:H27"/>
    <mergeCell ref="F18:I18"/>
    <mergeCell ref="F19:I19"/>
    <mergeCell ref="F20:I20"/>
    <mergeCell ref="K29:L29"/>
    <mergeCell ref="H55:I55"/>
    <mergeCell ref="N47:O47"/>
    <mergeCell ref="E46:G46"/>
    <mergeCell ref="E47:G47"/>
    <mergeCell ref="E53:G53"/>
    <mergeCell ref="H54:I54"/>
    <mergeCell ref="F272:I272"/>
    <mergeCell ref="AC101:AC102"/>
    <mergeCell ref="AC170:AC171"/>
    <mergeCell ref="H56:I56"/>
    <mergeCell ref="H58:I58"/>
    <mergeCell ref="H57:I57"/>
    <mergeCell ref="H60:I60"/>
    <mergeCell ref="J57:K57"/>
    <mergeCell ref="J60:K60"/>
    <mergeCell ref="Z101:AA101"/>
    <mergeCell ref="AB101:AB102"/>
    <mergeCell ref="H59:I59"/>
    <mergeCell ref="AC89:AC90"/>
    <mergeCell ref="AB170:AB171"/>
    <mergeCell ref="N101:N102"/>
    <mergeCell ref="W101:W102"/>
    <mergeCell ref="X101:Y101"/>
    <mergeCell ref="L59:P59"/>
    <mergeCell ref="L60:P60"/>
    <mergeCell ref="U67:AB67"/>
    <mergeCell ref="N170:N171"/>
    <mergeCell ref="AB208:AB209"/>
    <mergeCell ref="E55:G55"/>
    <mergeCell ref="Z222:AA222"/>
    <mergeCell ref="K220:L220"/>
    <mergeCell ref="Z223:AA223"/>
    <mergeCell ref="AB219:AB220"/>
    <mergeCell ref="U101:U102"/>
    <mergeCell ref="U170:U171"/>
    <mergeCell ref="X71:Y71"/>
    <mergeCell ref="Z71:AA71"/>
    <mergeCell ref="W84:AA84"/>
    <mergeCell ref="U89:U90"/>
    <mergeCell ref="W89:W90"/>
    <mergeCell ref="X89:Y89"/>
    <mergeCell ref="Z89:AA89"/>
    <mergeCell ref="W96:AA96"/>
    <mergeCell ref="AB89:AB90"/>
    <mergeCell ref="AB181:AB182"/>
    <mergeCell ref="W191:AA191"/>
    <mergeCell ref="AB197:AB198"/>
    <mergeCell ref="W176:AA176"/>
    <mergeCell ref="W203:AA203"/>
    <mergeCell ref="W214:AA214"/>
    <mergeCell ref="M170:M171"/>
    <mergeCell ref="D258:F258"/>
    <mergeCell ref="D259:F259"/>
    <mergeCell ref="D260:F260"/>
    <mergeCell ref="G255:J255"/>
    <mergeCell ref="B270:E270"/>
    <mergeCell ref="M181:M182"/>
    <mergeCell ref="M197:M198"/>
    <mergeCell ref="H191:L191"/>
    <mergeCell ref="D265:F265"/>
    <mergeCell ref="G231:H231"/>
    <mergeCell ref="H203:L203"/>
    <mergeCell ref="F246:G246"/>
    <mergeCell ref="D257:F257"/>
    <mergeCell ref="F245:G245"/>
    <mergeCell ref="B251:E251"/>
    <mergeCell ref="B240:E240"/>
    <mergeCell ref="G230:H230"/>
    <mergeCell ref="M208:M209"/>
    <mergeCell ref="U283:X283"/>
    <mergeCell ref="K224:L224"/>
    <mergeCell ref="K221:L221"/>
    <mergeCell ref="K222:L222"/>
    <mergeCell ref="K223:L223"/>
    <mergeCell ref="K219:L219"/>
    <mergeCell ref="U282:X282"/>
    <mergeCell ref="Z224:AA224"/>
    <mergeCell ref="Z219:AA219"/>
    <mergeCell ref="Z220:AA220"/>
    <mergeCell ref="Z221:AA221"/>
    <mergeCell ref="M219:M220"/>
    <mergeCell ref="J229:P229"/>
    <mergeCell ref="E51:G51"/>
    <mergeCell ref="C53:D53"/>
    <mergeCell ref="D264:F264"/>
    <mergeCell ref="G253:J253"/>
    <mergeCell ref="H214:L214"/>
    <mergeCell ref="C60:D60"/>
    <mergeCell ref="E60:G60"/>
    <mergeCell ref="I62:P62"/>
    <mergeCell ref="C51:D51"/>
    <mergeCell ref="H53:I53"/>
    <mergeCell ref="C54:D54"/>
    <mergeCell ref="H176:L176"/>
    <mergeCell ref="C59:D59"/>
    <mergeCell ref="J58:K58"/>
    <mergeCell ref="E56:G56"/>
    <mergeCell ref="E58:G58"/>
    <mergeCell ref="E57:G57"/>
    <mergeCell ref="C56:D56"/>
    <mergeCell ref="C58:D58"/>
    <mergeCell ref="C57:D57"/>
    <mergeCell ref="C55:D55"/>
    <mergeCell ref="F170:F171"/>
    <mergeCell ref="E54:G54"/>
    <mergeCell ref="J54:K54"/>
    <mergeCell ref="L54:P54"/>
    <mergeCell ref="C61:D61"/>
    <mergeCell ref="F101:F102"/>
    <mergeCell ref="F89:F90"/>
    <mergeCell ref="K89:L89"/>
    <mergeCell ref="E67:G67"/>
    <mergeCell ref="H67:O67"/>
    <mergeCell ref="K71:L71"/>
    <mergeCell ref="M101:M102"/>
    <mergeCell ref="I89:J89"/>
    <mergeCell ref="H101:H102"/>
    <mergeCell ref="H96:L96"/>
    <mergeCell ref="H89:H90"/>
    <mergeCell ref="N89:N90"/>
    <mergeCell ref="M89:M90"/>
    <mergeCell ref="K101:L101"/>
    <mergeCell ref="J61:K61"/>
    <mergeCell ref="I101:J101"/>
    <mergeCell ref="G15:P15"/>
    <mergeCell ref="P681:Q681"/>
    <mergeCell ref="I71:J71"/>
    <mergeCell ref="I252:O252"/>
    <mergeCell ref="G254:J254"/>
    <mergeCell ref="I271:O271"/>
    <mergeCell ref="L53:P53"/>
    <mergeCell ref="L55:P55"/>
    <mergeCell ref="L56:P56"/>
    <mergeCell ref="J53:K53"/>
    <mergeCell ref="J56:K56"/>
    <mergeCell ref="L58:P58"/>
    <mergeCell ref="J55:K55"/>
    <mergeCell ref="L57:P57"/>
    <mergeCell ref="J59:K59"/>
    <mergeCell ref="G229:H229"/>
    <mergeCell ref="G235:H235"/>
    <mergeCell ref="G233:H233"/>
    <mergeCell ref="G234:H234"/>
    <mergeCell ref="G236:H236"/>
    <mergeCell ref="L680:M680"/>
    <mergeCell ref="N680:O680"/>
    <mergeCell ref="L681:M681"/>
    <mergeCell ref="N681:O681"/>
  </mergeCells>
  <phoneticPr fontId="0" type="noConversion"/>
  <conditionalFormatting sqref="G656">
    <cfRule type="cellIs" priority="426" stopIfTrue="1" operator="lessThan">
      <formula>0</formula>
    </cfRule>
  </conditionalFormatting>
  <conditionalFormatting sqref="O359:O362 H677:H678 F285:F288 F290:F296 P386 N397:N400 O367:O383">
    <cfRule type="cellIs" dxfId="50" priority="382" stopIfTrue="1" operator="equal">
      <formula>0</formula>
    </cfRule>
  </conditionalFormatting>
  <conditionalFormatting sqref="F677:F678">
    <cfRule type="cellIs" dxfId="49" priority="357" stopIfTrue="1" operator="equal">
      <formula>0</formula>
    </cfRule>
  </conditionalFormatting>
  <conditionalFormatting sqref="I676">
    <cfRule type="cellIs" dxfId="48" priority="356" stopIfTrue="1" operator="equal">
      <formula>0</formula>
    </cfRule>
  </conditionalFormatting>
  <conditionalFormatting sqref="I677">
    <cfRule type="cellIs" dxfId="47" priority="355" stopIfTrue="1" operator="equal">
      <formula>0</formula>
    </cfRule>
  </conditionalFormatting>
  <conditionalFormatting sqref="F289">
    <cfRule type="cellIs" dxfId="46" priority="353" stopIfTrue="1" operator="equal">
      <formula>0</formula>
    </cfRule>
  </conditionalFormatting>
  <conditionalFormatting sqref="O363:O365">
    <cfRule type="cellIs" dxfId="45" priority="302" stopIfTrue="1" operator="equal">
      <formula>0</formula>
    </cfRule>
  </conditionalFormatting>
  <conditionalFormatting sqref="U285:U288 U290:U296">
    <cfRule type="cellIs" dxfId="44" priority="261" stopIfTrue="1" operator="equal">
      <formula>0</formula>
    </cfRule>
  </conditionalFormatting>
  <conditionalFormatting sqref="F248">
    <cfRule type="cellIs" dxfId="43" priority="124" stopIfTrue="1" operator="equal">
      <formula>0</formula>
    </cfRule>
  </conditionalFormatting>
  <conditionalFormatting sqref="F297">
    <cfRule type="cellIs" dxfId="42" priority="87" stopIfTrue="1" operator="equal">
      <formula>0</formula>
    </cfRule>
  </conditionalFormatting>
  <conditionalFormatting sqref="H656">
    <cfRule type="cellIs" priority="37" stopIfTrue="1" operator="lessThan">
      <formula>0</formula>
    </cfRule>
  </conditionalFormatting>
  <conditionalFormatting sqref="K4">
    <cfRule type="containsText" dxfId="41" priority="34" operator="containsText" text="FAIL">
      <formula>NOT(ISERROR(SEARCH("FAIL",K4)))</formula>
    </cfRule>
    <cfRule type="containsText" dxfId="40" priority="35" operator="containsText" text="PASS">
      <formula>NOT(ISERROR(SEARCH("PASS",K4)))</formula>
    </cfRule>
    <cfRule type="cellIs" dxfId="39" priority="36" operator="equal">
      <formula>"""PASS"""</formula>
    </cfRule>
  </conditionalFormatting>
  <conditionalFormatting sqref="U289">
    <cfRule type="cellIs" dxfId="38" priority="31" stopIfTrue="1" operator="equal">
      <formula>0</formula>
    </cfRule>
  </conditionalFormatting>
  <conditionalFormatting sqref="U297">
    <cfRule type="cellIs" dxfId="37" priority="30" stopIfTrue="1" operator="equal">
      <formula>0</formula>
    </cfRule>
  </conditionalFormatting>
  <dataValidations count="43">
    <dataValidation type="list" allowBlank="1" showInputMessage="1" showErrorMessage="1" sqref="T104:T163 E103:E163" xr:uid="{00000000-0002-0000-0500-000000000000}">
      <formula1>DropDown_VerticalGlazing</formula1>
    </dataValidation>
    <dataValidation type="list" allowBlank="1" showInputMessage="1" showErrorMessage="1" sqref="T74:T83 E73:E83" xr:uid="{00000000-0002-0000-0500-000001000000}">
      <formula1>DropDown_Doors</formula1>
    </dataValidation>
    <dataValidation type="list" allowBlank="1" showInputMessage="1" showErrorMessage="1" sqref="E91:E95 T91:T95" xr:uid="{00000000-0002-0000-0500-000002000000}">
      <formula1>DropDown_OverheadGlazing</formula1>
    </dataValidation>
    <dataValidation type="list" allowBlank="1" showInputMessage="1" showErrorMessage="1" sqref="T172:T175 E172:E175" xr:uid="{00000000-0002-0000-0500-000003000000}">
      <formula1>DropDown_FlatVaultedCeilings</formula1>
    </dataValidation>
    <dataValidation type="list" allowBlank="1" showInputMessage="1" showErrorMessage="1" sqref="T183:T190 E183:E190" xr:uid="{00000000-0002-0000-0500-000004000000}">
      <formula1>DropDown_AboveGradeWalls</formula1>
    </dataValidation>
    <dataValidation type="list" allowBlank="1" showInputMessage="1" showErrorMessage="1" sqref="E199:E202 T199:T202" xr:uid="{00000000-0002-0000-0500-000005000000}">
      <formula1>DropDown_FloorOverCrawlspace</formula1>
    </dataValidation>
    <dataValidation type="list" allowBlank="1" showInputMessage="1" showErrorMessage="1" sqref="E210:E213 T210:T213" xr:uid="{00000000-0002-0000-0500-000006000000}">
      <formula1>DropDown_SlabOnGrade</formula1>
    </dataValidation>
    <dataValidation type="list" allowBlank="1" showInputMessage="1" showErrorMessage="1" sqref="F17" xr:uid="{00000000-0002-0000-0500-000007000000}">
      <formula1>DropDown_UseOfCalculator</formula1>
    </dataValidation>
    <dataValidation type="list" allowBlank="1" showInputMessage="1" showErrorMessage="1" sqref="H406" xr:uid="{00000000-0002-0000-0500-000008000000}">
      <formula1>DropDown_Option_1</formula1>
    </dataValidation>
    <dataValidation type="list" allowBlank="1" showInputMessage="1" showErrorMessage="1" sqref="H52 H439" xr:uid="{00000000-0002-0000-0500-000009000000}">
      <formula1>DropDown_Option_2</formula1>
    </dataValidation>
    <dataValidation type="list" allowBlank="1" showInputMessage="1" showErrorMessage="1" sqref="H459" xr:uid="{00000000-0002-0000-0500-00000A000000}">
      <formula1>DropDown_Option_3</formula1>
    </dataValidation>
    <dataValidation type="list" allowBlank="1" showInputMessage="1" showErrorMessage="1" sqref="H55 H518" xr:uid="{00000000-0002-0000-0500-00000B000000}">
      <formula1>DropDown_Option_4</formula1>
    </dataValidation>
    <dataValidation type="list" allowBlank="1" showInputMessage="1" showErrorMessage="1" sqref="H532 H56:I56" xr:uid="{00000000-0002-0000-0500-00000C000000}">
      <formula1>DropDown_Option_5a</formula1>
    </dataValidation>
    <dataValidation type="list" allowBlank="1" showInputMessage="1" showErrorMessage="1" sqref="H555" xr:uid="{00000000-0002-0000-0500-00000D000000}">
      <formula1>DropDown_Option_5bc</formula1>
    </dataValidation>
    <dataValidation type="list" allowBlank="1" showInputMessage="1" showErrorMessage="1" sqref="H581" xr:uid="{00000000-0002-0000-0500-00000E000000}">
      <formula1>DropDown_Option_5d</formula1>
    </dataValidation>
    <dataValidation type="list" allowBlank="1" showInputMessage="1" showErrorMessage="1" sqref="H588 H599 H59:I59" xr:uid="{00000000-0002-0000-0500-00000F000000}">
      <formula1>DropDown_Option_6</formula1>
    </dataValidation>
    <dataValidation type="list" allowBlank="1" showInputMessage="1" showErrorMessage="1" sqref="F272" xr:uid="{00000000-0002-0000-0500-000010000000}">
      <formula1>DropDown_Cities</formula1>
    </dataValidation>
    <dataValidation type="custom" allowBlank="1" showInputMessage="1" showErrorMessage="1" errorTitle="Duct Loss Multiplier:" error="Must be greater than or equal to 1_x000a__x000a_1=Ductless systems or ducts located in conditioned space_x000a_1.1=Ducts located in unconditioned space_x000a__x000a_" sqref="F677:F678 I676:I677 Q391:Q392 P386 P397:P403 K397:K400 N397:N400 O359:O365 O367:O383" xr:uid="{00000000-0002-0000-0500-000011000000}">
      <formula1>F359&gt;=1</formula1>
    </dataValidation>
    <dataValidation type="list" allowBlank="1" showInputMessage="1" showErrorMessage="1" sqref="F283 U283 G254" xr:uid="{00000000-0002-0000-0500-000012000000}">
      <formula1>DropDown_DuctLocation</formula1>
    </dataValidation>
    <dataValidation type="list" allowBlank="1" showInputMessage="1" showErrorMessage="1" sqref="I671 U282 F282" xr:uid="{00000000-0002-0000-0500-000013000000}">
      <formula1>DropDown_SystemType</formula1>
    </dataValidation>
    <dataValidation type="whole" operator="greaterThan" allowBlank="1" showInputMessage="1" showErrorMessage="1" errorTitle="Window Rows to Show" error="Enter a whole number 1 or greater" sqref="N100" xr:uid="{00000000-0002-0000-0500-000014000000}">
      <formula1>0</formula1>
    </dataValidation>
    <dataValidation allowBlank="1" showInputMessage="1" sqref="P164 AE164" xr:uid="{00000000-0002-0000-0500-000015000000}"/>
    <dataValidation type="list" allowBlank="1" showInputMessage="1" showErrorMessage="1" sqref="F18" xr:uid="{00000000-0002-0000-0500-000016000000}">
      <formula1>DropDown_ProjectType</formula1>
    </dataValidation>
    <dataValidation type="list" allowBlank="1" showInputMessage="1" showErrorMessage="1" sqref="F19" xr:uid="{00000000-0002-0000-0500-000017000000}">
      <formula1>DropDown_Occupancy</formula1>
    </dataValidation>
    <dataValidation type="list" allowBlank="1" showInputMessage="1" showErrorMessage="1" sqref="F20" xr:uid="{00000000-0002-0000-0500-000018000000}">
      <formula1>DropDown_CodeVersion</formula1>
    </dataValidation>
    <dataValidation type="list" allowBlank="1" showInputMessage="1" showErrorMessage="1" sqref="H60:I60" xr:uid="{00000000-0002-0000-0500-000019000000}">
      <formula1>DropDown_Option_7</formula1>
    </dataValidation>
    <dataValidation type="list" allowBlank="1" showInputMessage="1" showErrorMessage="1" sqref="H47:K47" xr:uid="{00000000-0002-0000-0500-00001A000000}">
      <formula1>DropDown_FuelNormalizationSystem</formula1>
    </dataValidation>
    <dataValidation type="list" allowBlank="1" showInputMessage="1" showErrorMessage="1" sqref="F240 F270 F251 H328:H330" xr:uid="{00000000-0002-0000-0500-00001B000000}">
      <formula1>DropDown_HideShow</formula1>
    </dataValidation>
    <dataValidation type="list" allowBlank="1" showInputMessage="1" showErrorMessage="1" sqref="F722 G264:G265 G253:J253 G344:G346" xr:uid="{00000000-0002-0000-0500-00001C000000}">
      <formula1>DropDown_YesNo</formula1>
    </dataValidation>
    <dataValidation type="list" allowBlank="1" showInputMessage="1" showErrorMessage="1" error="Select from the drop down menu" sqref="F244" xr:uid="{00000000-0002-0000-0500-00001D000000}">
      <formula1>DropDown_PercentRunTime</formula1>
    </dataValidation>
    <dataValidation type="whole" allowBlank="1" showInputMessage="1" showErrorMessage="1" error="Enter a whole number 0 or greater" sqref="F243" xr:uid="{00000000-0002-0000-0500-00001E000000}">
      <formula1>0</formula1>
      <formula2>999</formula2>
    </dataValidation>
    <dataValidation type="list" allowBlank="1" showInputMessage="1" showErrorMessage="1" sqref="H51:I51" xr:uid="{00000000-0002-0000-0500-00001F000000}">
      <formula1>$H$408:$H$416</formula1>
    </dataValidation>
    <dataValidation type="list" allowBlank="1" showInputMessage="1" showErrorMessage="1" sqref="G257:G260" xr:uid="{00000000-0002-0000-0500-000020000000}">
      <formula1>DropDown_YesNoNA</formula1>
    </dataValidation>
    <dataValidation type="list" allowBlank="1" showInputMessage="1" showErrorMessage="1" sqref="G255:J255" xr:uid="{00000000-0002-0000-0500-000021000000}">
      <formula1>DropDown_AirHandlerLocation</formula1>
    </dataValidation>
    <dataValidation type="list" allowBlank="1" showInputMessage="1" showErrorMessage="1" error="Select from the drop down menu" sqref="F245" xr:uid="{00000000-0002-0000-0500-000022000000}">
      <formula1>DropDown_Balanced</formula1>
    </dataValidation>
    <dataValidation type="list" allowBlank="1" showInputMessage="1" showErrorMessage="1" error="Select from the drop down menu" sqref="F246" xr:uid="{00000000-0002-0000-0500-000023000000}">
      <formula1>DropDown_Distribution</formula1>
    </dataValidation>
    <dataValidation type="list" allowBlank="1" showInputMessage="1" showErrorMessage="1" sqref="H53:I53" xr:uid="{00000000-0002-0000-0500-000024000000}">
      <formula1>$H$461:$H$472</formula1>
    </dataValidation>
    <dataValidation type="list" allowBlank="1" showInputMessage="1" showErrorMessage="1" sqref="H542 H57:I57" xr:uid="{00000000-0002-0000-0500-000025000000}">
      <formula1>DropDown_Option_52</formula1>
    </dataValidation>
    <dataValidation type="list" allowBlank="1" showInputMessage="1" showErrorMessage="1" sqref="H504 H54:I54" xr:uid="{00000000-0002-0000-0500-000026000000}">
      <formula1>DropDown_Option_39</formula1>
    </dataValidation>
    <dataValidation type="list" allowBlank="1" showInputMessage="1" showErrorMessage="1" sqref="F221:F224 U221:U224" xr:uid="{00000000-0002-0000-0500-000027000000}">
      <formula1>DropDown_SlabDepths</formula1>
    </dataValidation>
    <dataValidation type="list" allowBlank="1" showInputMessage="1" showErrorMessage="1" sqref="E221:E224 T221:T224" xr:uid="{00000000-0002-0000-0500-000028000000}">
      <formula1>DropDown_BelowGradeSlab</formula1>
    </dataValidation>
    <dataValidation type="list" allowBlank="1" showInputMessage="1" showErrorMessage="1" sqref="H58:I58" xr:uid="{00000000-0002-0000-0500-000029000000}">
      <formula1>DropDown_Option_5</formula1>
    </dataValidation>
    <dataValidation type="list" allowBlank="1" showInputMessage="1" showErrorMessage="1" sqref="G328:G332" xr:uid="{00000000-0002-0000-0500-00002A000000}">
      <formula1>DropDown_RowAction</formula1>
    </dataValidation>
  </dataValidations>
  <hyperlinks>
    <hyperlink ref="I271" r:id="rId2" xr:uid="{00000000-0004-0000-0500-000000000000}"/>
    <hyperlink ref="I252" r:id="rId3" xr:uid="{00000000-0004-0000-0500-000001000000}"/>
    <hyperlink ref="G230" r:id="rId4" display="Click to Open" xr:uid="{00000000-0004-0000-0500-000002000000}"/>
    <hyperlink ref="G231" r:id="rId5" display="Click to Open" xr:uid="{00000000-0004-0000-0500-000003000000}"/>
    <hyperlink ref="I230" r:id="rId6" xr:uid="{00000000-0004-0000-0500-000004000000}"/>
    <hyperlink ref="G230:H230" r:id="rId7" display="Compliance Certificate" xr:uid="{00000000-0004-0000-0500-000005000000}"/>
    <hyperlink ref="G231:H231" r:id="rId8" display="Certificate" xr:uid="{00000000-0004-0000-0500-000006000000}"/>
    <hyperlink ref="G235" r:id="rId9" display="Click to Open" xr:uid="{00000000-0004-0000-0500-000007000000}"/>
    <hyperlink ref="G235:H235" r:id="rId10" display="Checklist" xr:uid="{00000000-0004-0000-0500-000008000000}"/>
    <hyperlink ref="G234" r:id="rId11" display="http://www.energy.wsu.edu/Documents/Duct%20Leakage%20affidavit%20existing%201_29-12.pdf" xr:uid="{00000000-0004-0000-0500-000009000000}"/>
    <hyperlink ref="G233" r:id="rId12" display="http://www.energy.wsu.edu/Documents/Duct%20Leakage%20affidavit%20new%20construction%201_29_12.pdf" xr:uid="{00000000-0004-0000-0500-00000A000000}"/>
    <hyperlink ref="G233:H233" r:id="rId13" display="Affidavit, Existing" xr:uid="{00000000-0004-0000-0500-00000B000000}"/>
    <hyperlink ref="G234:H234" r:id="rId14" display="Affidavit, Existing" xr:uid="{00000000-0004-0000-0500-00000C000000}"/>
    <hyperlink ref="G236:H236" r:id="rId15" display="Worksheet" xr:uid="{00000000-0004-0000-0500-00000D000000}"/>
    <hyperlink ref="E813" r:id="rId16" location="new_403.8.1" xr:uid="{00000000-0004-0000-0500-00000E000000}"/>
    <hyperlink ref="G237" r:id="rId17" xr:uid="{00000000-0004-0000-0500-00000F000000}"/>
    <hyperlink ref="I62" r:id="rId18" xr:uid="{00000000-0004-0000-0500-000010000000}"/>
  </hyperlinks>
  <printOptions horizontalCentered="1"/>
  <pageMargins left="0.25" right="0.25" top="0.75" bottom="0.75" header="0.3" footer="0.3"/>
  <pageSetup scale="59" fitToHeight="0" orientation="portrait" useFirstPageNumber="1" r:id="rId19"/>
  <headerFooter>
    <oddHeader>&amp;CWSU Code Compliance Calculator, WSEC 2021</oddHeader>
    <oddFooter>&amp;LWSU_C32021_20241009~Mamor Lot 6.xlsm, Version:10/9/2024 4:07:13 PM&amp;C10/16/2024&amp;R&amp;P</oddFooter>
  </headerFooter>
  <rowBreaks count="2" manualBreakCount="2">
    <brk id="62" max="16383" man="1"/>
    <brk id="195" max="16383" man="1"/>
  </rowBreaks>
  <ignoredErrors>
    <ignoredError sqref="H616:H623 O636 O638:O643 G31 L387:M387" formula="1"/>
  </ignoredErrors>
  <drawing r:id="rId20"/>
  <legacyDrawing r:id="rId21"/>
  <mc:AlternateContent xmlns:mc="http://schemas.openxmlformats.org/markup-compatibility/2006">
    <mc:Choice Requires="x14">
      <controls>
        <mc:AlternateContent xmlns:mc="http://schemas.openxmlformats.org/markup-compatibility/2006">
          <mc:Choice Requires="x14">
            <control shapeId="8579" r:id="rId22" name="Button 387">
              <controlPr locked="0" defaultSize="0" print="0" autoFill="0" autoPict="0" macro="[0]!Go_to_TopOfCustomWindows">
                <anchor moveWithCells="1" sizeWithCells="1">
                  <from>
                    <xdr:col>7</xdr:col>
                    <xdr:colOff>0</xdr:colOff>
                    <xdr:row>99</xdr:row>
                    <xdr:rowOff>28575</xdr:rowOff>
                  </from>
                  <to>
                    <xdr:col>10</xdr:col>
                    <xdr:colOff>47625</xdr:colOff>
                    <xdr:row>99</xdr:row>
                    <xdr:rowOff>238125</xdr:rowOff>
                  </to>
                </anchor>
              </controlPr>
            </control>
          </mc:Choice>
        </mc:AlternateContent>
        <mc:AlternateContent xmlns:mc="http://schemas.openxmlformats.org/markup-compatibility/2006">
          <mc:Choice Requires="x14">
            <control shapeId="8594" r:id="rId23" name="Button 402">
              <controlPr locked="0" defaultSize="0" print="0" autoFill="0" autoPict="0" macro="[0]!Go_to_TopOfCustomDoors">
                <anchor moveWithCells="1" sizeWithCells="1">
                  <from>
                    <xdr:col>7</xdr:col>
                    <xdr:colOff>9525</xdr:colOff>
                    <xdr:row>69</xdr:row>
                    <xdr:rowOff>38100</xdr:rowOff>
                  </from>
                  <to>
                    <xdr:col>10</xdr:col>
                    <xdr:colOff>57150</xdr:colOff>
                    <xdr:row>70</xdr:row>
                    <xdr:rowOff>0</xdr:rowOff>
                  </to>
                </anchor>
              </controlPr>
            </control>
          </mc:Choice>
        </mc:AlternateContent>
        <mc:AlternateContent xmlns:mc="http://schemas.openxmlformats.org/markup-compatibility/2006">
          <mc:Choice Requires="x14">
            <control shapeId="8595" r:id="rId24" name="Button 403">
              <controlPr locked="0" defaultSize="0" print="0" autoFill="0" autoPict="0" macro="[0]!Utilities_Goto.Go_to_TopOfCustomOverheadGlazing">
                <anchor moveWithCells="1" sizeWithCells="1">
                  <from>
                    <xdr:col>7</xdr:col>
                    <xdr:colOff>19050</xdr:colOff>
                    <xdr:row>87</xdr:row>
                    <xdr:rowOff>19050</xdr:rowOff>
                  </from>
                  <to>
                    <xdr:col>10</xdr:col>
                    <xdr:colOff>66675</xdr:colOff>
                    <xdr:row>87</xdr:row>
                    <xdr:rowOff>228600</xdr:rowOff>
                  </to>
                </anchor>
              </controlPr>
            </control>
          </mc:Choice>
        </mc:AlternateContent>
        <mc:AlternateContent xmlns:mc="http://schemas.openxmlformats.org/markup-compatibility/2006">
          <mc:Choice Requires="x14">
            <control shapeId="8596" r:id="rId25" name="Button 404">
              <controlPr locked="0" defaultSize="0" print="0" autoFill="0" autoPict="0" macro="[0]!Go_to_TopOfCustomCeiling">
                <anchor moveWithCells="1" sizeWithCells="1">
                  <from>
                    <xdr:col>7</xdr:col>
                    <xdr:colOff>361950</xdr:colOff>
                    <xdr:row>169</xdr:row>
                    <xdr:rowOff>171450</xdr:rowOff>
                  </from>
                  <to>
                    <xdr:col>10</xdr:col>
                    <xdr:colOff>409575</xdr:colOff>
                    <xdr:row>170</xdr:row>
                    <xdr:rowOff>180975</xdr:rowOff>
                  </to>
                </anchor>
              </controlPr>
            </control>
          </mc:Choice>
        </mc:AlternateContent>
        <mc:AlternateContent xmlns:mc="http://schemas.openxmlformats.org/markup-compatibility/2006">
          <mc:Choice Requires="x14">
            <control shapeId="8597" r:id="rId26" name="Button 405">
              <controlPr locked="0" defaultSize="0" print="0" autoFill="0" autoPict="0" macro="[0]!Go_to_TopOfCustomAboveGradeWalls">
                <anchor moveWithCells="1" sizeWithCells="1">
                  <from>
                    <xdr:col>7</xdr:col>
                    <xdr:colOff>400050</xdr:colOff>
                    <xdr:row>180</xdr:row>
                    <xdr:rowOff>171450</xdr:rowOff>
                  </from>
                  <to>
                    <xdr:col>11</xdr:col>
                    <xdr:colOff>0</xdr:colOff>
                    <xdr:row>181</xdr:row>
                    <xdr:rowOff>180975</xdr:rowOff>
                  </to>
                </anchor>
              </controlPr>
            </control>
          </mc:Choice>
        </mc:AlternateContent>
        <mc:AlternateContent xmlns:mc="http://schemas.openxmlformats.org/markup-compatibility/2006">
          <mc:Choice Requires="x14">
            <control shapeId="8598" r:id="rId27" name="Button 406">
              <controlPr locked="0" defaultSize="0" print="0" autoFill="0" autoPict="0" macro="[0]!Go_to_TopOfCustomFloors">
                <anchor moveWithCells="1" sizeWithCells="1">
                  <from>
                    <xdr:col>7</xdr:col>
                    <xdr:colOff>304800</xdr:colOff>
                    <xdr:row>196</xdr:row>
                    <xdr:rowOff>171450</xdr:rowOff>
                  </from>
                  <to>
                    <xdr:col>10</xdr:col>
                    <xdr:colOff>352425</xdr:colOff>
                    <xdr:row>197</xdr:row>
                    <xdr:rowOff>180975</xdr:rowOff>
                  </to>
                </anchor>
              </controlPr>
            </control>
          </mc:Choice>
        </mc:AlternateContent>
        <mc:AlternateContent xmlns:mc="http://schemas.openxmlformats.org/markup-compatibility/2006">
          <mc:Choice Requires="x14">
            <control shapeId="8599" r:id="rId28" name="Button 407">
              <controlPr locked="0" defaultSize="0" print="0" autoFill="0" autoPict="0" macro="[0]!Go_to_TopOfCustomSlabs">
                <anchor moveWithCells="1" sizeWithCells="1">
                  <from>
                    <xdr:col>7</xdr:col>
                    <xdr:colOff>314325</xdr:colOff>
                    <xdr:row>207</xdr:row>
                    <xdr:rowOff>171450</xdr:rowOff>
                  </from>
                  <to>
                    <xdr:col>10</xdr:col>
                    <xdr:colOff>361950</xdr:colOff>
                    <xdr:row>208</xdr:row>
                    <xdr:rowOff>180975</xdr:rowOff>
                  </to>
                </anchor>
              </controlPr>
            </control>
          </mc:Choice>
        </mc:AlternateContent>
        <mc:AlternateContent xmlns:mc="http://schemas.openxmlformats.org/markup-compatibility/2006">
          <mc:Choice Requires="x14">
            <control shapeId="8600" r:id="rId29" name="Button 408">
              <controlPr locked="0" defaultSize="0" print="0" autoFill="0" autoPict="0" macro="[0]!Go_to_TopOfCustomBelowGradeSlabs">
                <anchor moveWithCells="1" sizeWithCells="1">
                  <from>
                    <xdr:col>7</xdr:col>
                    <xdr:colOff>257175</xdr:colOff>
                    <xdr:row>217</xdr:row>
                    <xdr:rowOff>19050</xdr:rowOff>
                  </from>
                  <to>
                    <xdr:col>10</xdr:col>
                    <xdr:colOff>295275</xdr:colOff>
                    <xdr:row>217</xdr:row>
                    <xdr:rowOff>228600</xdr:rowOff>
                  </to>
                </anchor>
              </controlPr>
            </control>
          </mc:Choice>
        </mc:AlternateContent>
        <mc:AlternateContent xmlns:mc="http://schemas.openxmlformats.org/markup-compatibility/2006">
          <mc:Choice Requires="x14">
            <control shapeId="8727" r:id="rId30" name="Button 535">
              <controlPr defaultSize="0" print="0" autoFill="0" autoPict="0" macro="[0]!Print_GroupR_Simple">
                <anchor moveWithCells="1">
                  <from>
                    <xdr:col>8</xdr:col>
                    <xdr:colOff>238125</xdr:colOff>
                    <xdr:row>0</xdr:row>
                    <xdr:rowOff>0</xdr:rowOff>
                  </from>
                  <to>
                    <xdr:col>10</xdr:col>
                    <xdr:colOff>609600</xdr:colOff>
                    <xdr:row>0</xdr:row>
                    <xdr:rowOff>180975</xdr:rowOff>
                  </to>
                </anchor>
              </controlPr>
            </control>
          </mc:Choice>
        </mc:AlternateContent>
        <mc:AlternateContent xmlns:mc="http://schemas.openxmlformats.org/markup-compatibility/2006">
          <mc:Choice Requires="x14">
            <control shapeId="8728" r:id="rId31" name="Button 536">
              <controlPr defaultSize="0" print="0" autoFill="0" autoPict="0" macro="[0]!SelectPrinterDialog_Portrait">
                <anchor moveWithCells="1">
                  <from>
                    <xdr:col>11</xdr:col>
                    <xdr:colOff>314325</xdr:colOff>
                    <xdr:row>0</xdr:row>
                    <xdr:rowOff>0</xdr:rowOff>
                  </from>
                  <to>
                    <xdr:col>13</xdr:col>
                    <xdr:colOff>800100</xdr:colOff>
                    <xdr:row>0</xdr:row>
                    <xdr:rowOff>180975</xdr:rowOff>
                  </to>
                </anchor>
              </controlPr>
            </control>
          </mc:Choice>
        </mc:AlternateContent>
        <mc:AlternateContent xmlns:mc="http://schemas.openxmlformats.org/markup-compatibility/2006">
          <mc:Choice Requires="x14">
            <control shapeId="8731" r:id="rId32" name="Button 539">
              <controlPr defaultSize="0" print="0" autoFill="0" autoPict="0" macro="[0]!SetPageBreaksAtRow">
                <anchor moveWithCells="1">
                  <from>
                    <xdr:col>13</xdr:col>
                    <xdr:colOff>723900</xdr:colOff>
                    <xdr:row>0</xdr:row>
                    <xdr:rowOff>0</xdr:rowOff>
                  </from>
                  <to>
                    <xdr:col>15</xdr:col>
                    <xdr:colOff>695325</xdr:colOff>
                    <xdr:row>0</xdr:row>
                    <xdr:rowOff>180975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408" id="{114B9324-87F6-4AE5-A2BF-76DEA45B0380}">
            <x14:iconSet iconSet="3Symbols" showValue="0" custom="1">
              <x14:cfvo type="percent">
                <xm:f>0</xm:f>
              </x14:cfvo>
              <x14:cfvo type="num">
                <xm:f>0</xm:f>
              </x14:cfvo>
              <x14:cfvo type="num">
                <xm:f>0.5</xm:f>
              </x14:cfvo>
              <x14:cfIcon iconSet="NoIcons" iconId="0"/>
              <x14:cfIcon iconSet="NoIcons" iconId="0"/>
              <x14:cfIcon iconSet="3Symbols" iconId="0"/>
            </x14:iconSet>
          </x14:cfRule>
          <xm:sqref>O98:O99</xm:sqref>
        </x14:conditionalFormatting>
        <x14:conditionalFormatting xmlns:xm="http://schemas.microsoft.com/office/excel/2006/main">
          <x14:cfRule type="iconSet" priority="378" id="{0767D4EA-3BC3-4F36-AFF9-314388A83F1C}">
            <x14:iconSet iconSet="3Symbols" showValue="0" custom="1">
              <x14:cfvo type="percent">
                <xm:f>0</xm:f>
              </x14:cfvo>
              <x14:cfvo type="num">
                <xm:f>0</xm:f>
              </x14:cfvo>
              <x14:cfvo type="num">
                <xm:f>0.5</xm:f>
              </x14:cfvo>
              <x14:cfIcon iconSet="NoIcons" iconId="0"/>
              <x14:cfIcon iconSet="NoIcons" iconId="0"/>
              <x14:cfIcon iconSet="3Symbols" iconId="0"/>
            </x14:iconSet>
          </x14:cfRule>
          <xm:sqref>O164</xm:sqref>
        </x14:conditionalFormatting>
        <x14:conditionalFormatting xmlns:xm="http://schemas.microsoft.com/office/excel/2006/main">
          <x14:cfRule type="iconSet" priority="372" id="{F4F4D63F-5EAA-4B46-8A6B-5E6863C2477A}">
            <x14:iconSet iconSet="3Symbols" showValue="0" custom="1">
              <x14:cfvo type="percent">
                <xm:f>0</xm:f>
              </x14:cfvo>
              <x14:cfvo type="num">
                <xm:f>0</xm:f>
              </x14:cfvo>
              <x14:cfvo type="num">
                <xm:f>0.5</xm:f>
              </x14:cfvo>
              <x14:cfIcon iconSet="NoIcons" iconId="0"/>
              <x14:cfIcon iconSet="NoIcons" iconId="0"/>
              <x14:cfIcon iconSet="3Symbols" iconId="0"/>
            </x14:iconSet>
          </x14:cfRule>
          <xm:sqref>AD71:AD73</xm:sqref>
        </x14:conditionalFormatting>
        <x14:conditionalFormatting xmlns:xm="http://schemas.microsoft.com/office/excel/2006/main">
          <x14:cfRule type="iconSet" priority="362" id="{553F9061-0B91-458C-A57F-209FAF2D8CD5}">
            <x14:iconSet iconSet="3Symbols" showValue="0" custom="1">
              <x14:cfvo type="percent">
                <xm:f>0</xm:f>
              </x14:cfvo>
              <x14:cfvo type="num">
                <xm:f>0</xm:f>
              </x14:cfvo>
              <x14:cfvo type="num">
                <xm:f>0.5</xm:f>
              </x14:cfvo>
              <x14:cfIcon iconSet="NoIcons" iconId="0"/>
              <x14:cfIcon iconSet="NoIcons" iconId="0"/>
              <x14:cfIcon iconSet="3Symbols" iconId="0"/>
            </x14:iconSet>
          </x14:cfRule>
          <xm:sqref>O100</xm:sqref>
        </x14:conditionalFormatting>
        <x14:conditionalFormatting xmlns:xm="http://schemas.microsoft.com/office/excel/2006/main">
          <x14:cfRule type="iconSet" priority="434" id="{4AA58355-6910-445E-B932-63371E2D9D68}">
            <x14:iconSet iconSet="3Symbols" showValue="0" custom="1">
              <x14:cfvo type="percent">
                <xm:f>0</xm:f>
              </x14:cfvo>
              <x14:cfvo type="num">
                <xm:f>0</xm:f>
              </x14:cfvo>
              <x14:cfvo type="num">
                <xm:f>0.5</xm:f>
              </x14:cfvo>
              <x14:cfIcon iconSet="NoIcons" iconId="0"/>
              <x14:cfIcon iconSet="NoIcons" iconId="0"/>
              <x14:cfIcon iconSet="3Symbols" iconId="0"/>
            </x14:iconSet>
          </x14:cfRule>
          <xm:sqref>O924:O1048576 P65:P68 G406 O661 J290:J297 M604:M605 M610:M611 N609 O217 O101:O102 O178:O182 O194:O195 O206 M298 O63 O71:O72 O86:O90 O228 O272:O277 O22:O25 P325:P326 O38:O44 G418:G419 D408:D409 G457:G460 G518:G519 G530:G533 G537 G541 G581:G589 G597:G598 G435:G440 G447:G448 G521 G558 G591 O27:O28 O48:O49 O282:O298 O250 O304:O324 O269:O270 P239 O167:O171 G551:G556 G424:G426 G524 G565 G593</xm:sqref>
        </x14:conditionalFormatting>
        <x14:conditionalFormatting xmlns:xm="http://schemas.microsoft.com/office/excel/2006/main">
          <x14:cfRule type="iconSet" priority="341" id="{DC83E1DE-ED92-41F1-B4CF-C36C5EC70D85}">
            <x14:iconSet iconSet="3Symbols" showValue="0" custom="1">
              <x14:cfvo type="percent">
                <xm:f>0</xm:f>
              </x14:cfvo>
              <x14:cfvo type="num">
                <xm:f>0</xm:f>
              </x14:cfvo>
              <x14:cfvo type="num">
                <xm:f>0.5</xm:f>
              </x14:cfvo>
              <x14:cfIcon iconSet="NoIcons" iconId="0"/>
              <x14:cfIcon iconSet="NoIcons" iconId="0"/>
              <x14:cfIcon iconSet="3Symbols" iconId="0"/>
            </x14:iconSet>
          </x14:cfRule>
          <xm:sqref>O176:O177</xm:sqref>
        </x14:conditionalFormatting>
        <x14:conditionalFormatting xmlns:xm="http://schemas.microsoft.com/office/excel/2006/main">
          <x14:cfRule type="iconSet" priority="339" id="{F57FAEB8-7492-4953-9993-F10AA1E9ECA8}">
            <x14:iconSet iconSet="3Symbols" showValue="0" custom="1">
              <x14:cfvo type="percent">
                <xm:f>0</xm:f>
              </x14:cfvo>
              <x14:cfvo type="num">
                <xm:f>0</xm:f>
              </x14:cfvo>
              <x14:cfvo type="num">
                <xm:f>0.5</xm:f>
              </x14:cfvo>
              <x14:cfIcon iconSet="NoIcons" iconId="0"/>
              <x14:cfIcon iconSet="NoIcons" iconId="0"/>
              <x14:cfIcon iconSet="3Symbols" iconId="0"/>
            </x14:iconSet>
          </x14:cfRule>
          <xm:sqref>O191:O193</xm:sqref>
        </x14:conditionalFormatting>
        <x14:conditionalFormatting xmlns:xm="http://schemas.microsoft.com/office/excel/2006/main">
          <x14:cfRule type="iconSet" priority="317" id="{C61B4862-32F8-4947-9A77-9E9C619C94C2}">
            <x14:iconSet iconSet="3Symbols" showValue="0" custom="1">
              <x14:cfvo type="percent">
                <xm:f>0</xm:f>
              </x14:cfvo>
              <x14:cfvo type="num">
                <xm:f>0</xm:f>
              </x14:cfvo>
              <x14:cfvo type="num">
                <xm:f>0.5</xm:f>
              </x14:cfvo>
              <x14:cfIcon iconSet="NoIcons" iconId="0"/>
              <x14:cfIcon iconSet="NoIcons" iconId="0"/>
              <x14:cfIcon iconSet="3Symbols" iconId="0"/>
            </x14:iconSet>
          </x14:cfRule>
          <xm:sqref>AD164</xm:sqref>
        </x14:conditionalFormatting>
        <x14:conditionalFormatting xmlns:xm="http://schemas.microsoft.com/office/excel/2006/main">
          <x14:cfRule type="iconSet" priority="316" id="{1BD9E72D-1982-470C-90EA-82BE75115890}">
            <x14:iconSet iconSet="3Symbols" showValue="0" custom="1">
              <x14:cfvo type="percent">
                <xm:f>0</xm:f>
              </x14:cfvo>
              <x14:cfvo type="num">
                <xm:f>0</xm:f>
              </x14:cfvo>
              <x14:cfvo type="num">
                <xm:f>0.5</xm:f>
              </x14:cfvo>
              <x14:cfIcon iconSet="NoIcons" iconId="0"/>
              <x14:cfIcon iconSet="NoIcons" iconId="0"/>
              <x14:cfIcon iconSet="3Symbols" iconId="0"/>
            </x14:iconSet>
          </x14:cfRule>
          <xm:sqref>AD100</xm:sqref>
        </x14:conditionalFormatting>
        <x14:conditionalFormatting xmlns:xm="http://schemas.microsoft.com/office/excel/2006/main">
          <x14:cfRule type="iconSet" priority="319" id="{ED736A07-13F9-4778-A2F4-7666A9820477}">
            <x14:iconSet iconSet="3Symbols" showValue="0" custom="1">
              <x14:cfvo type="percent">
                <xm:f>0</xm:f>
              </x14:cfvo>
              <x14:cfvo type="num">
                <xm:f>0</xm:f>
              </x14:cfvo>
              <x14:cfvo type="num">
                <xm:f>0.5</xm:f>
              </x14:cfvo>
              <x14:cfIcon iconSet="NoIcons" iconId="0"/>
              <x14:cfIcon iconSet="NoIcons" iconId="0"/>
              <x14:cfIcon iconSet="3Symbols" iconId="0"/>
            </x14:iconSet>
          </x14:cfRule>
          <xm:sqref>AD217 AD101:AD103 AD165:AD171 AD178:AD179 AD195 AD206 AD86:AD90</xm:sqref>
        </x14:conditionalFormatting>
        <x14:conditionalFormatting xmlns:xm="http://schemas.microsoft.com/office/excel/2006/main">
          <x14:cfRule type="iconSet" priority="311" id="{EB1C9817-4A05-41A6-A0AF-84AC5ECF3691}">
            <x14:iconSet iconSet="3Symbols" showValue="0" custom="1">
              <x14:cfvo type="percent">
                <xm:f>0</xm:f>
              </x14:cfvo>
              <x14:cfvo type="num">
                <xm:f>0</xm:f>
              </x14:cfvo>
              <x14:cfvo type="num">
                <xm:f>0.5</xm:f>
              </x14:cfvo>
              <x14:cfIcon iconSet="NoIcons" iconId="0"/>
              <x14:cfIcon iconSet="NoIcons" iconId="0"/>
              <x14:cfIcon iconSet="3Symbols" iconId="0"/>
            </x14:iconSet>
          </x14:cfRule>
          <xm:sqref>AD176:AD177</xm:sqref>
        </x14:conditionalFormatting>
        <x14:conditionalFormatting xmlns:xm="http://schemas.microsoft.com/office/excel/2006/main">
          <x14:cfRule type="iconSet" priority="456" id="{86C3F4B8-907B-4E87-AD32-D57F2113A8E1}">
            <x14:iconSet iconSet="3Symbols" showValue="0" custom="1">
              <x14:cfvo type="percent">
                <xm:f>0</xm:f>
              </x14:cfvo>
              <x14:cfvo type="num">
                <xm:f>0</xm:f>
              </x14:cfvo>
              <x14:cfvo type="num">
                <xm:f>0.5</xm:f>
              </x14:cfvo>
              <x14:cfIcon iconSet="NoIcons" iconId="0"/>
              <x14:cfIcon iconSet="NoIcons" iconId="0"/>
              <x14:cfIcon iconSet="3Symbols" iconId="0"/>
            </x14:iconSet>
          </x14:cfRule>
          <xm:sqref>AD99 AD96:AD97</xm:sqref>
        </x14:conditionalFormatting>
        <x14:conditionalFormatting xmlns:xm="http://schemas.microsoft.com/office/excel/2006/main">
          <x14:cfRule type="iconSet" priority="293" id="{1C2D1283-0262-4CA8-9128-56486D53BF45}">
            <x14:iconSet iconSet="3Symbols" showValue="0" custom="1">
              <x14:cfvo type="percent">
                <xm:f>0</xm:f>
              </x14:cfvo>
              <x14:cfvo type="num">
                <xm:f>0</xm:f>
              </x14:cfvo>
              <x14:cfvo type="num">
                <xm:f>0.5</xm:f>
              </x14:cfvo>
              <x14:cfIcon iconSet="NoIcons" iconId="0"/>
              <x14:cfIcon iconSet="NoIcons" iconId="0"/>
              <x14:cfIcon iconSet="3Symbols" iconId="0"/>
            </x14:iconSet>
          </x14:cfRule>
          <xm:sqref>AD98</xm:sqref>
        </x14:conditionalFormatting>
        <x14:conditionalFormatting xmlns:xm="http://schemas.microsoft.com/office/excel/2006/main">
          <x14:cfRule type="iconSet" priority="287" id="{1838DDB0-14BF-46D1-B65E-9D5A535C64AA}">
            <x14:iconSet iconSet="3Symbols" showValue="0" custom="1">
              <x14:cfvo type="percent">
                <xm:f>0</xm:f>
              </x14:cfvo>
              <x14:cfvo type="num">
                <xm:f>0</xm:f>
              </x14:cfvo>
              <x14:cfvo type="num">
                <xm:f>0.5</xm:f>
              </x14:cfvo>
              <x14:cfIcon iconSet="NoIcons" iconId="0"/>
              <x14:cfIcon iconSet="NoIcons" iconId="0"/>
              <x14:cfIcon iconSet="3Symbols" iconId="0"/>
            </x14:iconSet>
          </x14:cfRule>
          <xm:sqref>AD194 AD180:AD182</xm:sqref>
        </x14:conditionalFormatting>
        <x14:conditionalFormatting xmlns:xm="http://schemas.microsoft.com/office/excel/2006/main">
          <x14:cfRule type="iconSet" priority="286" id="{AE207D43-77E4-444B-959A-1019B7F73023}">
            <x14:iconSet iconSet="3Symbols" showValue="0" custom="1">
              <x14:cfvo type="percent">
                <xm:f>0</xm:f>
              </x14:cfvo>
              <x14:cfvo type="num">
                <xm:f>0</xm:f>
              </x14:cfvo>
              <x14:cfvo type="num">
                <xm:f>0.5</xm:f>
              </x14:cfvo>
              <x14:cfIcon iconSet="NoIcons" iconId="0"/>
              <x14:cfIcon iconSet="NoIcons" iconId="0"/>
              <x14:cfIcon iconSet="3Symbols" iconId="0"/>
            </x14:iconSet>
          </x14:cfRule>
          <xm:sqref>AD191:AD193</xm:sqref>
        </x14:conditionalFormatting>
        <x14:conditionalFormatting xmlns:xm="http://schemas.microsoft.com/office/excel/2006/main">
          <x14:cfRule type="iconSet" priority="284" id="{8A9B86A7-2B3D-4015-B42C-2AF0073F1BFC}">
            <x14:iconSet iconSet="3Symbols" showValue="0" custom="1">
              <x14:cfvo type="percent">
                <xm:f>0</xm:f>
              </x14:cfvo>
              <x14:cfvo type="num">
                <xm:f>0</xm:f>
              </x14:cfvo>
              <x14:cfvo type="num">
                <xm:f>0.5</xm:f>
              </x14:cfvo>
              <x14:cfIcon iconSet="NoIcons" iconId="0"/>
              <x14:cfIcon iconSet="NoIcons" iconId="0"/>
              <x14:cfIcon iconSet="3Symbols" iconId="0"/>
            </x14:iconSet>
          </x14:cfRule>
          <xm:sqref>O196:O198 O205</xm:sqref>
        </x14:conditionalFormatting>
        <x14:conditionalFormatting xmlns:xm="http://schemas.microsoft.com/office/excel/2006/main">
          <x14:cfRule type="iconSet" priority="283" id="{EEAE69C4-2238-42F5-9F78-1EE050B65D28}">
            <x14:iconSet iconSet="3Symbols" showValue="0" custom="1">
              <x14:cfvo type="percent">
                <xm:f>0</xm:f>
              </x14:cfvo>
              <x14:cfvo type="num">
                <xm:f>0</xm:f>
              </x14:cfvo>
              <x14:cfvo type="num">
                <xm:f>0.5</xm:f>
              </x14:cfvo>
              <x14:cfIcon iconSet="NoIcons" iconId="0"/>
              <x14:cfIcon iconSet="NoIcons" iconId="0"/>
              <x14:cfIcon iconSet="3Symbols" iconId="0"/>
            </x14:iconSet>
          </x14:cfRule>
          <xm:sqref>O203:O204</xm:sqref>
        </x14:conditionalFormatting>
        <x14:conditionalFormatting xmlns:xm="http://schemas.microsoft.com/office/excel/2006/main">
          <x14:cfRule type="iconSet" priority="281" id="{F6D3E969-F1AF-428F-BA3F-083694A21EAA}">
            <x14:iconSet iconSet="3Symbols" showValue="0" custom="1">
              <x14:cfvo type="percent">
                <xm:f>0</xm:f>
              </x14:cfvo>
              <x14:cfvo type="num">
                <xm:f>0</xm:f>
              </x14:cfvo>
              <x14:cfvo type="num">
                <xm:f>0.5</xm:f>
              </x14:cfvo>
              <x14:cfIcon iconSet="NoIcons" iconId="0"/>
              <x14:cfIcon iconSet="NoIcons" iconId="0"/>
              <x14:cfIcon iconSet="3Symbols" iconId="0"/>
            </x14:iconSet>
          </x14:cfRule>
          <xm:sqref>AD196:AD198 AD205</xm:sqref>
        </x14:conditionalFormatting>
        <x14:conditionalFormatting xmlns:xm="http://schemas.microsoft.com/office/excel/2006/main">
          <x14:cfRule type="iconSet" priority="280" id="{8E460877-BCBF-49F3-847A-B038A6252F18}">
            <x14:iconSet iconSet="3Symbols" showValue="0" custom="1">
              <x14:cfvo type="percent">
                <xm:f>0</xm:f>
              </x14:cfvo>
              <x14:cfvo type="num">
                <xm:f>0</xm:f>
              </x14:cfvo>
              <x14:cfvo type="num">
                <xm:f>0.5</xm:f>
              </x14:cfvo>
              <x14:cfIcon iconSet="NoIcons" iconId="0"/>
              <x14:cfIcon iconSet="NoIcons" iconId="0"/>
              <x14:cfIcon iconSet="3Symbols" iconId="0"/>
            </x14:iconSet>
          </x14:cfRule>
          <xm:sqref>AD203:AD204</xm:sqref>
        </x14:conditionalFormatting>
        <x14:conditionalFormatting xmlns:xm="http://schemas.microsoft.com/office/excel/2006/main">
          <x14:cfRule type="iconSet" priority="278" id="{647E2E80-112B-41B2-B1D2-EDE7DC11136B}">
            <x14:iconSet iconSet="3Symbols" showValue="0" custom="1">
              <x14:cfvo type="percent">
                <xm:f>0</xm:f>
              </x14:cfvo>
              <x14:cfvo type="num">
                <xm:f>0</xm:f>
              </x14:cfvo>
              <x14:cfvo type="num">
                <xm:f>0.5</xm:f>
              </x14:cfvo>
              <x14:cfIcon iconSet="NoIcons" iconId="0"/>
              <x14:cfIcon iconSet="NoIcons" iconId="0"/>
              <x14:cfIcon iconSet="3Symbols" iconId="0"/>
            </x14:iconSet>
          </x14:cfRule>
          <xm:sqref>O207:O209 O216</xm:sqref>
        </x14:conditionalFormatting>
        <x14:conditionalFormatting xmlns:xm="http://schemas.microsoft.com/office/excel/2006/main">
          <x14:cfRule type="iconSet" priority="277" id="{21AA3AA6-EB33-4298-B274-FC27D02CABB1}">
            <x14:iconSet iconSet="3Symbols" showValue="0" custom="1">
              <x14:cfvo type="percent">
                <xm:f>0</xm:f>
              </x14:cfvo>
              <x14:cfvo type="num">
                <xm:f>0</xm:f>
              </x14:cfvo>
              <x14:cfvo type="num">
                <xm:f>0.5</xm:f>
              </x14:cfvo>
              <x14:cfIcon iconSet="NoIcons" iconId="0"/>
              <x14:cfIcon iconSet="NoIcons" iconId="0"/>
              <x14:cfIcon iconSet="3Symbols" iconId="0"/>
            </x14:iconSet>
          </x14:cfRule>
          <xm:sqref>O214:O215</xm:sqref>
        </x14:conditionalFormatting>
        <x14:conditionalFormatting xmlns:xm="http://schemas.microsoft.com/office/excel/2006/main">
          <x14:cfRule type="iconSet" priority="275" id="{928E73DC-D119-40FE-AFD8-A9E1704EC467}">
            <x14:iconSet iconSet="3Symbols" showValue="0" custom="1">
              <x14:cfvo type="percent">
                <xm:f>0</xm:f>
              </x14:cfvo>
              <x14:cfvo type="num">
                <xm:f>0</xm:f>
              </x14:cfvo>
              <x14:cfvo type="num">
                <xm:f>0.5</xm:f>
              </x14:cfvo>
              <x14:cfIcon iconSet="NoIcons" iconId="0"/>
              <x14:cfIcon iconSet="NoIcons" iconId="0"/>
              <x14:cfIcon iconSet="3Symbols" iconId="0"/>
            </x14:iconSet>
          </x14:cfRule>
          <xm:sqref>AD207:AD209 AD216</xm:sqref>
        </x14:conditionalFormatting>
        <x14:conditionalFormatting xmlns:xm="http://schemas.microsoft.com/office/excel/2006/main">
          <x14:cfRule type="iconSet" priority="274" id="{31EF6E67-30BC-46D1-9473-C4C24BCBC68A}">
            <x14:iconSet iconSet="3Symbols" showValue="0" custom="1">
              <x14:cfvo type="percent">
                <xm:f>0</xm:f>
              </x14:cfvo>
              <x14:cfvo type="num">
                <xm:f>0</xm:f>
              </x14:cfvo>
              <x14:cfvo type="num">
                <xm:f>0.5</xm:f>
              </x14:cfvo>
              <x14:cfIcon iconSet="NoIcons" iconId="0"/>
              <x14:cfIcon iconSet="NoIcons" iconId="0"/>
              <x14:cfIcon iconSet="3Symbols" iconId="0"/>
            </x14:iconSet>
          </x14:cfRule>
          <xm:sqref>AD214:AD215</xm:sqref>
        </x14:conditionalFormatting>
        <x14:conditionalFormatting xmlns:xm="http://schemas.microsoft.com/office/excel/2006/main">
          <x14:cfRule type="iconSet" priority="272" id="{76434457-982E-414A-9DF9-7665D7B69052}">
            <x14:iconSet iconSet="3Symbols" showValue="0" custom="1">
              <x14:cfvo type="percent">
                <xm:f>0</xm:f>
              </x14:cfvo>
              <x14:cfvo type="num">
                <xm:f>0</xm:f>
              </x14:cfvo>
              <x14:cfvo type="num">
                <xm:f>0.5</xm:f>
              </x14:cfvo>
              <x14:cfIcon iconSet="NoIcons" iconId="0"/>
              <x14:cfIcon iconSet="NoIcons" iconId="0"/>
              <x14:cfIcon iconSet="3Symbols" iconId="0"/>
            </x14:iconSet>
          </x14:cfRule>
          <xm:sqref>O218</xm:sqref>
        </x14:conditionalFormatting>
        <x14:conditionalFormatting xmlns:xm="http://schemas.microsoft.com/office/excel/2006/main">
          <x14:cfRule type="iconSet" priority="271" id="{74606A2F-F0D4-4DBF-A8B0-5FF2FE6A494F}">
            <x14:iconSet iconSet="3Symbols" showValue="0" custom="1">
              <x14:cfvo type="percent">
                <xm:f>0</xm:f>
              </x14:cfvo>
              <x14:cfvo type="num">
                <xm:f>0</xm:f>
              </x14:cfvo>
              <x14:cfvo type="num">
                <xm:f>0.5</xm:f>
              </x14:cfvo>
              <x14:cfIcon iconSet="NoIcons" iconId="0"/>
              <x14:cfIcon iconSet="NoIcons" iconId="0"/>
              <x14:cfIcon iconSet="3Symbols" iconId="0"/>
            </x14:iconSet>
          </x14:cfRule>
          <xm:sqref>O219:O220 O227</xm:sqref>
        </x14:conditionalFormatting>
        <x14:conditionalFormatting xmlns:xm="http://schemas.microsoft.com/office/excel/2006/main">
          <x14:cfRule type="iconSet" priority="270" id="{BD124DC8-5B93-420F-BB73-5F58D4E28B0C}">
            <x14:iconSet iconSet="3Symbols" showValue="0" custom="1">
              <x14:cfvo type="percent">
                <xm:f>0</xm:f>
              </x14:cfvo>
              <x14:cfvo type="num">
                <xm:f>0</xm:f>
              </x14:cfvo>
              <x14:cfvo type="num">
                <xm:f>0.5</xm:f>
              </x14:cfvo>
              <x14:cfIcon iconSet="NoIcons" iconId="0"/>
              <x14:cfIcon iconSet="NoIcons" iconId="0"/>
              <x14:cfIcon iconSet="3Symbols" iconId="0"/>
            </x14:iconSet>
          </x14:cfRule>
          <xm:sqref>O225:O226</xm:sqref>
        </x14:conditionalFormatting>
        <x14:conditionalFormatting xmlns:xm="http://schemas.microsoft.com/office/excel/2006/main">
          <x14:cfRule type="iconSet" priority="268" id="{C59123F0-F6C9-4804-B998-357D19FCE894}">
            <x14:iconSet iconSet="3Symbols" showValue="0" custom="1">
              <x14:cfvo type="percent">
                <xm:f>0</xm:f>
              </x14:cfvo>
              <x14:cfvo type="num">
                <xm:f>0</xm:f>
              </x14:cfvo>
              <x14:cfvo type="num">
                <xm:f>0.5</xm:f>
              </x14:cfvo>
              <x14:cfIcon iconSet="NoIcons" iconId="0"/>
              <x14:cfIcon iconSet="NoIcons" iconId="0"/>
              <x14:cfIcon iconSet="3Symbols" iconId="0"/>
            </x14:iconSet>
          </x14:cfRule>
          <xm:sqref>AD218</xm:sqref>
        </x14:conditionalFormatting>
        <x14:conditionalFormatting xmlns:xm="http://schemas.microsoft.com/office/excel/2006/main">
          <x14:cfRule type="iconSet" priority="267" id="{826860A7-6327-480F-9650-A6A18E330E76}">
            <x14:iconSet iconSet="3Symbols" showValue="0" custom="1">
              <x14:cfvo type="percent">
                <xm:f>0</xm:f>
              </x14:cfvo>
              <x14:cfvo type="num">
                <xm:f>0</xm:f>
              </x14:cfvo>
              <x14:cfvo type="num">
                <xm:f>0.5</xm:f>
              </x14:cfvo>
              <x14:cfIcon iconSet="NoIcons" iconId="0"/>
              <x14:cfIcon iconSet="NoIcons" iconId="0"/>
              <x14:cfIcon iconSet="3Symbols" iconId="0"/>
            </x14:iconSet>
          </x14:cfRule>
          <xm:sqref>AD219:AD220 AD227</xm:sqref>
        </x14:conditionalFormatting>
        <x14:conditionalFormatting xmlns:xm="http://schemas.microsoft.com/office/excel/2006/main">
          <x14:cfRule type="iconSet" priority="266" id="{B4D0B87E-52F0-404B-BF2B-AA067BD67E9B}">
            <x14:iconSet iconSet="3Symbols" showValue="0" custom="1">
              <x14:cfvo type="percent">
                <xm:f>0</xm:f>
              </x14:cfvo>
              <x14:cfvo type="num">
                <xm:f>0</xm:f>
              </x14:cfvo>
              <x14:cfvo type="num">
                <xm:f>0.5</xm:f>
              </x14:cfvo>
              <x14:cfIcon iconSet="NoIcons" iconId="0"/>
              <x14:cfIcon iconSet="NoIcons" iconId="0"/>
              <x14:cfIcon iconSet="3Symbols" iconId="0"/>
            </x14:iconSet>
          </x14:cfRule>
          <xm:sqref>AD225:AD226</xm:sqref>
        </x14:conditionalFormatting>
        <x14:conditionalFormatting xmlns:xm="http://schemas.microsoft.com/office/excel/2006/main">
          <x14:cfRule type="iconSet" priority="258" id="{E5459E38-9CEB-43D9-9B47-6F5C8DEA7B23}">
            <x14:iconSet iconSet="3Symbols" showValue="0" custom="1">
              <x14:cfvo type="percent">
                <xm:f>0</xm:f>
              </x14:cfvo>
              <x14:cfvo type="num">
                <xm:f>0</xm:f>
              </x14:cfvo>
              <x14:cfvo type="num">
                <xm:f>0.5</xm:f>
              </x14:cfvo>
              <x14:cfIcon iconSet="NoIcons" iconId="0"/>
              <x14:cfIcon iconSet="NoIcons" iconId="0"/>
              <x14:cfIcon iconSet="3Symbols" iconId="0"/>
            </x14:iconSet>
          </x14:cfRule>
          <xm:sqref>AD271</xm:sqref>
        </x14:conditionalFormatting>
        <x14:conditionalFormatting xmlns:xm="http://schemas.microsoft.com/office/excel/2006/main">
          <x14:cfRule type="iconSet" priority="262" id="{3FB7A2E9-C79B-4605-960A-4480FBDBECED}">
            <x14:iconSet iconSet="3Symbols" showValue="0" custom="1">
              <x14:cfvo type="percent">
                <xm:f>0</xm:f>
              </x14:cfvo>
              <x14:cfvo type="num">
                <xm:f>0</xm:f>
              </x14:cfvo>
              <x14:cfvo type="num">
                <xm:f>0.5</xm:f>
              </x14:cfvo>
              <x14:cfIcon iconSet="NoIcons" iconId="0"/>
              <x14:cfIcon iconSet="NoIcons" iconId="0"/>
              <x14:cfIcon iconSet="3Symbols" iconId="0"/>
            </x14:iconSet>
          </x14:cfRule>
          <xm:sqref>Y290:Y297 AB298 AD272:AD298</xm:sqref>
        </x14:conditionalFormatting>
        <x14:conditionalFormatting xmlns:xm="http://schemas.microsoft.com/office/excel/2006/main">
          <x14:cfRule type="iconSet" priority="259" id="{EED7D733-6C52-4FCA-9EDF-3623B06F0A12}">
            <x14:iconSet iconSet="3Symbols" showValue="0" custom="1">
              <x14:cfvo type="percent">
                <xm:f>0</xm:f>
              </x14:cfvo>
              <x14:cfvo type="num">
                <xm:f>0</xm:f>
              </x14:cfvo>
              <x14:cfvo type="num">
                <xm:f>0.5</xm:f>
              </x14:cfvo>
              <x14:cfIcon iconSet="NoIcons" iconId="0"/>
              <x14:cfIcon iconSet="NoIcons" iconId="0"/>
              <x14:cfIcon iconSet="3Symbols" iconId="0"/>
            </x14:iconSet>
          </x14:cfRule>
          <xm:sqref>W279:W281</xm:sqref>
        </x14:conditionalFormatting>
        <x14:conditionalFormatting xmlns:xm="http://schemas.microsoft.com/office/excel/2006/main">
          <x14:cfRule type="iconSet" priority="482" id="{7EBB2F1F-69C7-40DD-8516-02F8422EF6FC}">
            <x14:iconSet iconSet="3Symbols" showValue="0" custom="1">
              <x14:cfvo type="percent">
                <xm:f>0</xm:f>
              </x14:cfvo>
              <x14:cfvo type="num">
                <xm:f>0</xm:f>
              </x14:cfvo>
              <x14:cfvo type="num">
                <xm:f>0.5</xm:f>
              </x14:cfvo>
              <x14:cfIcon iconSet="NoIcons" iconId="0"/>
              <x14:cfIcon iconSet="NoIcons" iconId="0"/>
              <x14:cfIcon iconSet="3Symbols" iconId="0"/>
            </x14:iconSet>
          </x14:cfRule>
          <xm:sqref>H427:H431</xm:sqref>
        </x14:conditionalFormatting>
        <x14:conditionalFormatting xmlns:xm="http://schemas.microsoft.com/office/excel/2006/main">
          <x14:cfRule type="iconSet" priority="253" id="{8EB1B9CD-EE91-4DDC-B5EA-AC0271922F38}">
            <x14:iconSet iconSet="3Symbols" showValue="0" custom="1">
              <x14:cfvo type="percent">
                <xm:f>0</xm:f>
              </x14:cfvo>
              <x14:cfvo type="num">
                <xm:f>0</xm:f>
              </x14:cfvo>
              <x14:cfvo type="num">
                <xm:f>0.5</xm:f>
              </x14:cfvo>
              <x14:cfIcon iconSet="NoIcons" iconId="0"/>
              <x14:cfIcon iconSet="NoIcons" iconId="0"/>
              <x14:cfIcon iconSet="3Symbols" iconId="0"/>
            </x14:iconSet>
          </x14:cfRule>
          <xm:sqref>G450:G451</xm:sqref>
        </x14:conditionalFormatting>
        <x14:conditionalFormatting xmlns:xm="http://schemas.microsoft.com/office/excel/2006/main">
          <x14:cfRule type="iconSet" priority="251" id="{5FC4D309-C39E-45A4-83B8-7EBBD92A3609}">
            <x14:iconSet iconSet="3Symbols" showValue="0" custom="1">
              <x14:cfvo type="percent">
                <xm:f>0</xm:f>
              </x14:cfvo>
              <x14:cfvo type="num">
                <xm:f>0</xm:f>
              </x14:cfvo>
              <x14:cfvo type="num">
                <xm:f>0.5</xm:f>
              </x14:cfvo>
              <x14:cfIcon iconSet="NoIcons" iconId="0"/>
              <x14:cfIcon iconSet="NoIcons" iconId="0"/>
              <x14:cfIcon iconSet="3Symbols" iconId="0"/>
            </x14:iconSet>
          </x14:cfRule>
          <xm:sqref>G454:G456</xm:sqref>
        </x14:conditionalFormatting>
        <x14:conditionalFormatting xmlns:xm="http://schemas.microsoft.com/office/excel/2006/main">
          <x14:cfRule type="iconSet" priority="252" id="{47D9EF4A-D901-4ACC-9AC2-FA65AE6A993F}">
            <x14:iconSet iconSet="3Symbols" showValue="0" custom="1">
              <x14:cfvo type="percent">
                <xm:f>0</xm:f>
              </x14:cfvo>
              <x14:cfvo type="num">
                <xm:f>0</xm:f>
              </x14:cfvo>
              <x14:cfvo type="num">
                <xm:f>0.5</xm:f>
              </x14:cfvo>
              <x14:cfIcon iconSet="NoIcons" iconId="0"/>
              <x14:cfIcon iconSet="NoIcons" iconId="0"/>
              <x14:cfIcon iconSet="3Symbols" iconId="0"/>
            </x14:iconSet>
          </x14:cfRule>
          <xm:sqref>H453:H456</xm:sqref>
        </x14:conditionalFormatting>
        <x14:conditionalFormatting xmlns:xm="http://schemas.microsoft.com/office/excel/2006/main">
          <x14:cfRule type="iconSet" priority="250" id="{B90FE479-893D-4E1F-A4A9-062B5A40976D}">
            <x14:iconSet iconSet="3Symbols" showValue="0" custom="1">
              <x14:cfvo type="percent">
                <xm:f>0</xm:f>
              </x14:cfvo>
              <x14:cfvo type="num">
                <xm:f>0</xm:f>
              </x14:cfvo>
              <x14:cfvo type="num">
                <xm:f>0.5</xm:f>
              </x14:cfvo>
              <x14:cfIcon iconSet="NoIcons" iconId="0"/>
              <x14:cfIcon iconSet="NoIcons" iconId="0"/>
              <x14:cfIcon iconSet="3Symbols" iconId="0"/>
            </x14:iconSet>
          </x14:cfRule>
          <xm:sqref>G452</xm:sqref>
        </x14:conditionalFormatting>
        <x14:conditionalFormatting xmlns:xm="http://schemas.microsoft.com/office/excel/2006/main">
          <x14:cfRule type="iconSet" priority="248" id="{CDD4422B-F30C-42BE-BA1F-7BB692B9C84A}">
            <x14:iconSet iconSet="3Symbols" showValue="0" custom="1">
              <x14:cfvo type="percent">
                <xm:f>0</xm:f>
              </x14:cfvo>
              <x14:cfvo type="num">
                <xm:f>0</xm:f>
              </x14:cfvo>
              <x14:cfvo type="num">
                <xm:f>0.5</xm:f>
              </x14:cfvo>
              <x14:cfIcon iconSet="NoIcons" iconId="0"/>
              <x14:cfIcon iconSet="NoIcons" iconId="0"/>
              <x14:cfIcon iconSet="3Symbols" iconId="0"/>
            </x14:iconSet>
          </x14:cfRule>
          <xm:sqref>G476:G478</xm:sqref>
        </x14:conditionalFormatting>
        <x14:conditionalFormatting xmlns:xm="http://schemas.microsoft.com/office/excel/2006/main">
          <x14:cfRule type="iconSet" priority="245" id="{1BE4915F-12DE-47D2-997E-0F399EB8D75C}">
            <x14:iconSet iconSet="3Symbols" showValue="0" custom="1">
              <x14:cfvo type="percent">
                <xm:f>0</xm:f>
              </x14:cfvo>
              <x14:cfvo type="num">
                <xm:f>0</xm:f>
              </x14:cfvo>
              <x14:cfvo type="num">
                <xm:f>0.5</xm:f>
              </x14:cfvo>
              <x14:cfIcon iconSet="NoIcons" iconId="0"/>
              <x14:cfIcon iconSet="NoIcons" iconId="0"/>
              <x14:cfIcon iconSet="3Symbols" iconId="0"/>
            </x14:iconSet>
          </x14:cfRule>
          <xm:sqref>G485</xm:sqref>
        </x14:conditionalFormatting>
        <x14:conditionalFormatting xmlns:xm="http://schemas.microsoft.com/office/excel/2006/main">
          <x14:cfRule type="iconSet" priority="244" id="{6D982732-AEA0-41B1-A912-E68AC556BB3B}">
            <x14:iconSet iconSet="3Symbols" showValue="0" custom="1">
              <x14:cfvo type="percent">
                <xm:f>0</xm:f>
              </x14:cfvo>
              <x14:cfvo type="num">
                <xm:f>0</xm:f>
              </x14:cfvo>
              <x14:cfvo type="num">
                <xm:f>0.5</xm:f>
              </x14:cfvo>
              <x14:cfIcon iconSet="NoIcons" iconId="0"/>
              <x14:cfIcon iconSet="NoIcons" iconId="0"/>
              <x14:cfIcon iconSet="3Symbols" iconId="0"/>
            </x14:iconSet>
          </x14:cfRule>
          <xm:sqref>G479:G482</xm:sqref>
        </x14:conditionalFormatting>
        <x14:conditionalFormatting xmlns:xm="http://schemas.microsoft.com/office/excel/2006/main">
          <x14:cfRule type="iconSet" priority="239" id="{B2AF162B-1075-4E50-9A4A-08A31D0A1C6D}">
            <x14:iconSet iconSet="3Symbols" showValue="0" custom="1">
              <x14:cfvo type="percent">
                <xm:f>0</xm:f>
              </x14:cfvo>
              <x14:cfvo type="num">
                <xm:f>0</xm:f>
              </x14:cfvo>
              <x14:cfvo type="num">
                <xm:f>0.5</xm:f>
              </x14:cfvo>
              <x14:cfIcon iconSet="NoIcons" iconId="0"/>
              <x14:cfIcon iconSet="NoIcons" iconId="0"/>
              <x14:cfIcon iconSet="3Symbols" iconId="0"/>
            </x14:iconSet>
          </x14:cfRule>
          <xm:sqref>G527</xm:sqref>
        </x14:conditionalFormatting>
        <x14:conditionalFormatting xmlns:xm="http://schemas.microsoft.com/office/excel/2006/main">
          <x14:cfRule type="iconSet" priority="538" id="{9E05BF36-FB23-488E-B5F9-E5189F778B7E}">
            <x14:iconSet iconSet="3Symbols" showValue="0" custom="1">
              <x14:cfvo type="percent">
                <xm:f>0</xm:f>
              </x14:cfvo>
              <x14:cfvo type="num">
                <xm:f>0</xm:f>
              </x14:cfvo>
              <x14:cfvo type="num">
                <xm:f>0.5</xm:f>
              </x14:cfvo>
              <x14:cfIcon iconSet="NoIcons" iconId="0"/>
              <x14:cfIcon iconSet="NoIcons" iconId="0"/>
              <x14:cfIcon iconSet="3Symbols" iconId="0"/>
            </x14:iconSet>
          </x14:cfRule>
          <xm:sqref>G529</xm:sqref>
        </x14:conditionalFormatting>
        <x14:conditionalFormatting xmlns:xm="http://schemas.microsoft.com/office/excel/2006/main">
          <x14:cfRule type="iconSet" priority="539" id="{17F0DC4F-7731-463A-B05F-801BB76DB29B}">
            <x14:iconSet iconSet="3Symbols" showValue="0" custom="1">
              <x14:cfvo type="percent">
                <xm:f>0</xm:f>
              </x14:cfvo>
              <x14:cfvo type="num">
                <xm:f>0</xm:f>
              </x14:cfvo>
              <x14:cfvo type="num">
                <xm:f>0.5</xm:f>
              </x14:cfvo>
              <x14:cfIcon iconSet="NoIcons" iconId="0"/>
              <x14:cfIcon iconSet="NoIcons" iconId="0"/>
              <x14:cfIcon iconSet="3Symbols" iconId="0"/>
            </x14:iconSet>
          </x14:cfRule>
          <xm:sqref>H528:H529</xm:sqref>
        </x14:conditionalFormatting>
        <x14:conditionalFormatting xmlns:xm="http://schemas.microsoft.com/office/excel/2006/main">
          <x14:cfRule type="iconSet" priority="569" id="{3B1E7AE7-9825-4F96-897C-EA96550F8D62}">
            <x14:iconSet iconSet="3Symbols" showValue="0" custom="1">
              <x14:cfvo type="percent">
                <xm:f>0</xm:f>
              </x14:cfvo>
              <x14:cfvo type="num">
                <xm:f>0</xm:f>
              </x14:cfvo>
              <x14:cfvo type="num">
                <xm:f>0.5</xm:f>
              </x14:cfvo>
              <x14:cfIcon iconSet="NoIcons" iconId="0"/>
              <x14:cfIcon iconSet="NoIcons" iconId="0"/>
              <x14:cfIcon iconSet="3Symbols" iconId="0"/>
            </x14:iconSet>
          </x14:cfRule>
          <xm:sqref>H540</xm:sqref>
        </x14:conditionalFormatting>
        <x14:conditionalFormatting xmlns:xm="http://schemas.microsoft.com/office/excel/2006/main">
          <x14:cfRule type="iconSet" priority="232" id="{A0E03228-91D0-40AF-93F7-693D7B8533B3}">
            <x14:iconSet iconSet="3Symbols" showValue="0" custom="1">
              <x14:cfvo type="percent">
                <xm:f>0</xm:f>
              </x14:cfvo>
              <x14:cfvo type="num">
                <xm:f>0</xm:f>
              </x14:cfvo>
              <x14:cfvo type="num">
                <xm:f>0.5</xm:f>
              </x14:cfvo>
              <x14:cfIcon iconSet="NoIcons" iconId="0"/>
              <x14:cfIcon iconSet="NoIcons" iconId="0"/>
              <x14:cfIcon iconSet="3Symbols" iconId="0"/>
            </x14:iconSet>
          </x14:cfRule>
          <xm:sqref>G568</xm:sqref>
        </x14:conditionalFormatting>
        <x14:conditionalFormatting xmlns:xm="http://schemas.microsoft.com/office/excel/2006/main">
          <x14:cfRule type="iconSet" priority="229" id="{9F65BAB1-F29E-427E-8219-32BA2F8D9840}">
            <x14:iconSet iconSet="3Symbols" showValue="0" custom="1">
              <x14:cfvo type="percent">
                <xm:f>0</xm:f>
              </x14:cfvo>
              <x14:cfvo type="num">
                <xm:f>0</xm:f>
              </x14:cfvo>
              <x14:cfvo type="num">
                <xm:f>0.5</xm:f>
              </x14:cfvo>
              <x14:cfIcon iconSet="NoIcons" iconId="0"/>
              <x14:cfIcon iconSet="NoIcons" iconId="0"/>
              <x14:cfIcon iconSet="3Symbols" iconId="0"/>
            </x14:iconSet>
          </x14:cfRule>
          <xm:sqref>G572</xm:sqref>
        </x14:conditionalFormatting>
        <x14:conditionalFormatting xmlns:xm="http://schemas.microsoft.com/office/excel/2006/main">
          <x14:cfRule type="iconSet" priority="227" id="{F668C59E-9426-4C5C-B546-CB3C162D49C2}">
            <x14:iconSet iconSet="3Symbols" showValue="0" custom="1">
              <x14:cfvo type="percent">
                <xm:f>0</xm:f>
              </x14:cfvo>
              <x14:cfvo type="num">
                <xm:f>0</xm:f>
              </x14:cfvo>
              <x14:cfvo type="num">
                <xm:f>0.5</xm:f>
              </x14:cfvo>
              <x14:cfIcon iconSet="NoIcons" iconId="0"/>
              <x14:cfIcon iconSet="NoIcons" iconId="0"/>
              <x14:cfIcon iconSet="3Symbols" iconId="0"/>
            </x14:iconSet>
          </x14:cfRule>
          <xm:sqref>G569:G571</xm:sqref>
        </x14:conditionalFormatting>
        <x14:conditionalFormatting xmlns:xm="http://schemas.microsoft.com/office/excel/2006/main">
          <x14:cfRule type="iconSet" priority="226" id="{707D080A-79A2-4E6C-9358-7BE096543273}">
            <x14:iconSet iconSet="3Symbols" showValue="0" custom="1">
              <x14:cfvo type="percent">
                <xm:f>0</xm:f>
              </x14:cfvo>
              <x14:cfvo type="num">
                <xm:f>0</xm:f>
              </x14:cfvo>
              <x14:cfvo type="num">
                <xm:f>0.5</xm:f>
              </x14:cfvo>
              <x14:cfIcon iconSet="NoIcons" iconId="0"/>
              <x14:cfIcon iconSet="NoIcons" iconId="0"/>
              <x14:cfIcon iconSet="3Symbols" iconId="0"/>
            </x14:iconSet>
          </x14:cfRule>
          <xm:sqref>H596</xm:sqref>
        </x14:conditionalFormatting>
        <x14:conditionalFormatting xmlns:xm="http://schemas.microsoft.com/office/excel/2006/main">
          <x14:cfRule type="iconSet" priority="223" id="{A286E751-8C28-4D08-A196-B51B01459DBE}">
            <x14:iconSet iconSet="3Symbols" showValue="0" custom="1">
              <x14:cfvo type="percent">
                <xm:f>0</xm:f>
              </x14:cfvo>
              <x14:cfvo type="num">
                <xm:f>0</xm:f>
              </x14:cfvo>
              <x14:cfvo type="num">
                <xm:f>0.5</xm:f>
              </x14:cfvo>
              <x14:cfIcon iconSet="NoIcons" iconId="0"/>
              <x14:cfIcon iconSet="NoIcons" iconId="0"/>
              <x14:cfIcon iconSet="3Symbols" iconId="0"/>
            </x14:iconSet>
          </x14:cfRule>
          <xm:sqref>G474</xm:sqref>
        </x14:conditionalFormatting>
        <x14:conditionalFormatting xmlns:xm="http://schemas.microsoft.com/office/excel/2006/main">
          <x14:cfRule type="iconSet" priority="222" id="{EE8D922D-4073-4A14-B51B-C5FFE74E6C65}">
            <x14:iconSet iconSet="3Symbols" showValue="0" custom="1">
              <x14:cfvo type="percent">
                <xm:f>0</xm:f>
              </x14:cfvo>
              <x14:cfvo type="num">
                <xm:f>0</xm:f>
              </x14:cfvo>
              <x14:cfvo type="num">
                <xm:f>0.5</xm:f>
              </x14:cfvo>
              <x14:cfIcon iconSet="NoIcons" iconId="0"/>
              <x14:cfIcon iconSet="NoIcons" iconId="0"/>
              <x14:cfIcon iconSet="3Symbols" iconId="0"/>
            </x14:iconSet>
          </x14:cfRule>
          <xm:sqref>G525</xm:sqref>
        </x14:conditionalFormatting>
        <x14:conditionalFormatting xmlns:xm="http://schemas.microsoft.com/office/excel/2006/main">
          <x14:cfRule type="iconSet" priority="221" id="{41249512-40F2-48F2-AA38-06E388FD20E2}">
            <x14:iconSet iconSet="3Symbols" showValue="0" custom="1">
              <x14:cfvo type="percent">
                <xm:f>0</xm:f>
              </x14:cfvo>
              <x14:cfvo type="num">
                <xm:f>0</xm:f>
              </x14:cfvo>
              <x14:cfvo type="num">
                <xm:f>0.5</xm:f>
              </x14:cfvo>
              <x14:cfIcon iconSet="NoIcons" iconId="0"/>
              <x14:cfIcon iconSet="NoIcons" iconId="0"/>
              <x14:cfIcon iconSet="3Symbols" iconId="0"/>
            </x14:iconSet>
          </x14:cfRule>
          <xm:sqref>G538</xm:sqref>
        </x14:conditionalFormatting>
        <x14:conditionalFormatting xmlns:xm="http://schemas.microsoft.com/office/excel/2006/main">
          <x14:cfRule type="iconSet" priority="220" id="{B5493DE0-DA0E-4B6F-ADB3-163DCE4F7F6F}">
            <x14:iconSet iconSet="3Symbols" showValue="0" custom="1">
              <x14:cfvo type="percent">
                <xm:f>0</xm:f>
              </x14:cfvo>
              <x14:cfvo type="num">
                <xm:f>0</xm:f>
              </x14:cfvo>
              <x14:cfvo type="num">
                <xm:f>0.5</xm:f>
              </x14:cfvo>
              <x14:cfIcon iconSet="NoIcons" iconId="0"/>
              <x14:cfIcon iconSet="NoIcons" iconId="0"/>
              <x14:cfIcon iconSet="3Symbols" iconId="0"/>
            </x14:iconSet>
          </x14:cfRule>
          <xm:sqref>G566</xm:sqref>
        </x14:conditionalFormatting>
        <x14:conditionalFormatting xmlns:xm="http://schemas.microsoft.com/office/excel/2006/main">
          <x14:cfRule type="iconSet" priority="219" id="{C840B9AF-2AD4-4F3E-B665-F4CE8BC6F1E3}">
            <x14:iconSet iconSet="3Symbols" showValue="0" custom="1">
              <x14:cfvo type="percent">
                <xm:f>0</xm:f>
              </x14:cfvo>
              <x14:cfvo type="num">
                <xm:f>0</xm:f>
              </x14:cfvo>
              <x14:cfvo type="num">
                <xm:f>0.5</xm:f>
              </x14:cfvo>
              <x14:cfIcon iconSet="NoIcons" iconId="0"/>
              <x14:cfIcon iconSet="NoIcons" iconId="0"/>
              <x14:cfIcon iconSet="3Symbols" iconId="0"/>
            </x14:iconSet>
          </x14:cfRule>
          <xm:sqref>G594</xm:sqref>
        </x14:conditionalFormatting>
        <x14:conditionalFormatting xmlns:xm="http://schemas.microsoft.com/office/excel/2006/main">
          <x14:cfRule type="iconSet" priority="218" id="{EB264B71-7F43-4816-AECD-BF1198024DC0}">
            <x14:iconSet iconSet="3Symbols" showValue="0" custom="1">
              <x14:cfvo type="percent">
                <xm:f>0</xm:f>
              </x14:cfvo>
              <x14:cfvo type="num">
                <xm:f>0</xm:f>
              </x14:cfvo>
              <x14:cfvo type="num">
                <xm:f>0.5</xm:f>
              </x14:cfvo>
              <x14:cfIcon iconSet="NoIcons" iconId="0"/>
              <x14:cfIcon iconSet="NoIcons" iconId="0"/>
              <x14:cfIcon iconSet="3Symbols" iconId="0"/>
            </x14:iconSet>
          </x14:cfRule>
          <xm:sqref>G599:G600 G602</xm:sqref>
        </x14:conditionalFormatting>
        <x14:conditionalFormatting xmlns:xm="http://schemas.microsoft.com/office/excel/2006/main">
          <x14:cfRule type="iconSet" priority="217" id="{04045D69-1F1E-484D-83D0-D28077CBE8A4}">
            <x14:iconSet iconSet="3Symbols" showValue="0" custom="1">
              <x14:cfvo type="percent">
                <xm:f>0</xm:f>
              </x14:cfvo>
              <x14:cfvo type="num">
                <xm:f>0</xm:f>
              </x14:cfvo>
              <x14:cfvo type="num">
                <xm:f>0.5</xm:f>
              </x14:cfvo>
              <x14:cfIcon iconSet="NoIcons" iconId="0"/>
              <x14:cfIcon iconSet="NoIcons" iconId="0"/>
              <x14:cfIcon iconSet="3Symbols" iconId="0"/>
            </x14:iconSet>
          </x14:cfRule>
          <xm:sqref>G606</xm:sqref>
        </x14:conditionalFormatting>
        <x14:conditionalFormatting xmlns:xm="http://schemas.microsoft.com/office/excel/2006/main">
          <x14:cfRule type="iconSet" priority="215" id="{5C9EFC65-6975-471A-84A8-050719268776}">
            <x14:iconSet iconSet="3Symbols" showValue="0" custom="1">
              <x14:cfvo type="percent">
                <xm:f>0</xm:f>
              </x14:cfvo>
              <x14:cfvo type="num">
                <xm:f>0</xm:f>
              </x14:cfvo>
              <x14:cfvo type="num">
                <xm:f>0.5</xm:f>
              </x14:cfvo>
              <x14:cfIcon iconSet="NoIcons" iconId="0"/>
              <x14:cfIcon iconSet="NoIcons" iconId="0"/>
              <x14:cfIcon iconSet="3Symbols" iconId="0"/>
            </x14:iconSet>
          </x14:cfRule>
          <xm:sqref>O73</xm:sqref>
        </x14:conditionalFormatting>
        <x14:conditionalFormatting xmlns:xm="http://schemas.microsoft.com/office/excel/2006/main">
          <x14:cfRule type="iconSet" priority="212" id="{4D5F22BD-DEA7-4AA0-ACD5-78F21AC4E7EC}">
            <x14:iconSet iconSet="3Symbols" showValue="0" custom="1">
              <x14:cfvo type="percent">
                <xm:f>0</xm:f>
              </x14:cfvo>
              <x14:cfvo type="num">
                <xm:f>0</xm:f>
              </x14:cfvo>
              <x14:cfvo type="num">
                <xm:f>0.5</xm:f>
              </x14:cfvo>
              <x14:cfIcon iconSet="NoIcons" iconId="0"/>
              <x14:cfIcon iconSet="NoIcons" iconId="0"/>
              <x14:cfIcon iconSet="3Symbols" iconId="0"/>
            </x14:iconSet>
          </x14:cfRule>
          <xm:sqref>H278:H281</xm:sqref>
        </x14:conditionalFormatting>
        <x14:conditionalFormatting xmlns:xm="http://schemas.microsoft.com/office/excel/2006/main">
          <x14:cfRule type="iconSet" priority="177" id="{12A433B9-F1E4-432D-856E-D53088991D8C}">
            <x14:iconSet iconSet="3Symbols" showValue="0" custom="1">
              <x14:cfvo type="percent">
                <xm:f>0</xm:f>
              </x14:cfvo>
              <x14:cfvo type="num">
                <xm:f>0</xm:f>
              </x14:cfvo>
              <x14:cfvo type="num">
                <xm:f>0.5</xm:f>
              </x14:cfvo>
              <x14:cfIcon iconSet="NoIcons" iconId="0"/>
              <x14:cfIcon iconSet="NoIcons" iconId="0"/>
              <x14:cfIcon iconSet="3Symbols" iconId="0"/>
            </x14:iconSet>
          </x14:cfRule>
          <xm:sqref>AD104</xm:sqref>
        </x14:conditionalFormatting>
        <x14:conditionalFormatting xmlns:xm="http://schemas.microsoft.com/office/excel/2006/main">
          <x14:cfRule type="iconSet" priority="176" id="{21C742CB-B2D8-49D2-AD75-00EB4D2B661F}">
            <x14:iconSet iconSet="3Symbols" showValue="0" custom="1">
              <x14:cfvo type="percent">
                <xm:f>0</xm:f>
              </x14:cfvo>
              <x14:cfvo type="num">
                <xm:f>0</xm:f>
              </x14:cfvo>
              <x14:cfvo type="num">
                <xm:f>0.5</xm:f>
              </x14:cfvo>
              <x14:cfIcon iconSet="NoIcons" iconId="0"/>
              <x14:cfIcon iconSet="NoIcons" iconId="0"/>
              <x14:cfIcon iconSet="3Symbols" iconId="0"/>
            </x14:iconSet>
          </x14:cfRule>
          <xm:sqref>AD104</xm:sqref>
        </x14:conditionalFormatting>
        <x14:conditionalFormatting xmlns:xm="http://schemas.microsoft.com/office/excel/2006/main">
          <x14:cfRule type="iconSet" priority="175" id="{1F6F1896-9AAB-464A-8ECE-C3093F2C6FE8}">
            <x14:iconSet iconSet="3Symbols" showValue="0" custom="1">
              <x14:cfvo type="percent">
                <xm:f>0</xm:f>
              </x14:cfvo>
              <x14:cfvo type="num">
                <xm:f>0</xm:f>
              </x14:cfvo>
              <x14:cfvo type="num">
                <xm:f>0.5</xm:f>
              </x14:cfvo>
              <x14:cfIcon iconSet="NoIcons" iconId="0"/>
              <x14:cfIcon iconSet="NoIcons" iconId="0"/>
              <x14:cfIcon iconSet="3Symbols" iconId="0"/>
            </x14:iconSet>
          </x14:cfRule>
          <xm:sqref>AD105:AD163</xm:sqref>
        </x14:conditionalFormatting>
        <x14:conditionalFormatting xmlns:xm="http://schemas.microsoft.com/office/excel/2006/main">
          <x14:cfRule type="iconSet" priority="174" id="{AB670483-858D-4BC1-9FB0-9060C1828A0B}">
            <x14:iconSet iconSet="3Symbols" showValue="0" custom="1">
              <x14:cfvo type="percent">
                <xm:f>0</xm:f>
              </x14:cfvo>
              <x14:cfvo type="num">
                <xm:f>0</xm:f>
              </x14:cfvo>
              <x14:cfvo type="num">
                <xm:f>0.5</xm:f>
              </x14:cfvo>
              <x14:cfIcon iconSet="NoIcons" iconId="0"/>
              <x14:cfIcon iconSet="NoIcons" iconId="0"/>
              <x14:cfIcon iconSet="3Symbols" iconId="0"/>
            </x14:iconSet>
          </x14:cfRule>
          <xm:sqref>AD105:AD163</xm:sqref>
        </x14:conditionalFormatting>
        <x14:conditionalFormatting xmlns:xm="http://schemas.microsoft.com/office/excel/2006/main">
          <x14:cfRule type="iconSet" priority="173" id="{6C8AF370-4A25-4B1D-879C-FCCE3A323158}">
            <x14:iconSet iconSet="3Symbols" showValue="0" custom="1">
              <x14:cfvo type="percent">
                <xm:f>0</xm:f>
              </x14:cfvo>
              <x14:cfvo type="num">
                <xm:f>0</xm:f>
              </x14:cfvo>
              <x14:cfvo type="num">
                <xm:f>0.5</xm:f>
              </x14:cfvo>
              <x14:cfIcon iconSet="NoIcons" iconId="0"/>
              <x14:cfIcon iconSet="NoIcons" iconId="0"/>
              <x14:cfIcon iconSet="3Symbols" iconId="0"/>
            </x14:iconSet>
          </x14:cfRule>
          <xm:sqref>O74</xm:sqref>
        </x14:conditionalFormatting>
        <x14:conditionalFormatting xmlns:xm="http://schemas.microsoft.com/office/excel/2006/main">
          <x14:cfRule type="iconSet" priority="172" id="{96514B14-7351-4211-A313-C61F554C964E}">
            <x14:iconSet iconSet="3Symbols" showValue="0" custom="1">
              <x14:cfvo type="percent">
                <xm:f>0</xm:f>
              </x14:cfvo>
              <x14:cfvo type="num">
                <xm:f>0</xm:f>
              </x14:cfvo>
              <x14:cfvo type="num">
                <xm:f>0.5</xm:f>
              </x14:cfvo>
              <x14:cfIcon iconSet="NoIcons" iconId="0"/>
              <x14:cfIcon iconSet="NoIcons" iconId="0"/>
              <x14:cfIcon iconSet="3Symbols" iconId="0"/>
            </x14:iconSet>
          </x14:cfRule>
          <xm:sqref>O74</xm:sqref>
        </x14:conditionalFormatting>
        <x14:conditionalFormatting xmlns:xm="http://schemas.microsoft.com/office/excel/2006/main">
          <x14:cfRule type="iconSet" priority="171" id="{66B25E23-5DAD-47DD-B929-0C671B725203}">
            <x14:iconSet iconSet="3Symbols" showValue="0" custom="1">
              <x14:cfvo type="percent">
                <xm:f>0</xm:f>
              </x14:cfvo>
              <x14:cfvo type="num">
                <xm:f>0</xm:f>
              </x14:cfvo>
              <x14:cfvo type="num">
                <xm:f>0.5</xm:f>
              </x14:cfvo>
              <x14:cfIcon iconSet="NoIcons" iconId="0"/>
              <x14:cfIcon iconSet="NoIcons" iconId="0"/>
              <x14:cfIcon iconSet="3Symbols" iconId="0"/>
            </x14:iconSet>
          </x14:cfRule>
          <xm:sqref>O75:O76</xm:sqref>
        </x14:conditionalFormatting>
        <x14:conditionalFormatting xmlns:xm="http://schemas.microsoft.com/office/excel/2006/main">
          <x14:cfRule type="iconSet" priority="170" id="{0EDD6CEB-B9B4-4C76-8CC7-2D84E3712D87}">
            <x14:iconSet iconSet="3Symbols" showValue="0" custom="1">
              <x14:cfvo type="percent">
                <xm:f>0</xm:f>
              </x14:cfvo>
              <x14:cfvo type="num">
                <xm:f>0</xm:f>
              </x14:cfvo>
              <x14:cfvo type="num">
                <xm:f>0.5</xm:f>
              </x14:cfvo>
              <x14:cfIcon iconSet="NoIcons" iconId="0"/>
              <x14:cfIcon iconSet="NoIcons" iconId="0"/>
              <x14:cfIcon iconSet="3Symbols" iconId="0"/>
            </x14:iconSet>
          </x14:cfRule>
          <xm:sqref>O75:O76</xm:sqref>
        </x14:conditionalFormatting>
        <x14:conditionalFormatting xmlns:xm="http://schemas.microsoft.com/office/excel/2006/main">
          <x14:cfRule type="iconSet" priority="167" id="{9CBAECBE-F55F-47B8-9F02-E9C1EDECCCE5}">
            <x14:iconSet iconSet="3Symbols" showValue="0" custom="1">
              <x14:cfvo type="percent">
                <xm:f>0</xm:f>
              </x14:cfvo>
              <x14:cfvo type="num">
                <xm:f>0</xm:f>
              </x14:cfvo>
              <x14:cfvo type="num">
                <xm:f>0.5</xm:f>
              </x14:cfvo>
              <x14:cfIcon iconSet="NoIcons" iconId="0"/>
              <x14:cfIcon iconSet="NoIcons" iconId="0"/>
              <x14:cfIcon iconSet="3Symbols" iconId="0"/>
            </x14:iconSet>
          </x14:cfRule>
          <xm:sqref>AD74</xm:sqref>
        </x14:conditionalFormatting>
        <x14:conditionalFormatting xmlns:xm="http://schemas.microsoft.com/office/excel/2006/main">
          <x14:cfRule type="iconSet" priority="166" id="{38D9EC8C-A2A6-4749-82B9-B45B097D5F4C}">
            <x14:iconSet iconSet="3Symbols" showValue="0" custom="1">
              <x14:cfvo type="percent">
                <xm:f>0</xm:f>
              </x14:cfvo>
              <x14:cfvo type="num">
                <xm:f>0</xm:f>
              </x14:cfvo>
              <x14:cfvo type="num">
                <xm:f>0.5</xm:f>
              </x14:cfvo>
              <x14:cfIcon iconSet="NoIcons" iconId="0"/>
              <x14:cfIcon iconSet="NoIcons" iconId="0"/>
              <x14:cfIcon iconSet="3Symbols" iconId="0"/>
            </x14:iconSet>
          </x14:cfRule>
          <xm:sqref>AD74</xm:sqref>
        </x14:conditionalFormatting>
        <x14:conditionalFormatting xmlns:xm="http://schemas.microsoft.com/office/excel/2006/main">
          <x14:cfRule type="iconSet" priority="165" id="{81413E13-32B9-475F-B694-E3E5B61CF1DA}">
            <x14:iconSet iconSet="3Symbols" showValue="0" custom="1">
              <x14:cfvo type="percent">
                <xm:f>0</xm:f>
              </x14:cfvo>
              <x14:cfvo type="num">
                <xm:f>0</xm:f>
              </x14:cfvo>
              <x14:cfvo type="num">
                <xm:f>0.5</xm:f>
              </x14:cfvo>
              <x14:cfIcon iconSet="NoIcons" iconId="0"/>
              <x14:cfIcon iconSet="NoIcons" iconId="0"/>
              <x14:cfIcon iconSet="3Symbols" iconId="0"/>
            </x14:iconSet>
          </x14:cfRule>
          <xm:sqref>AD75:AD83</xm:sqref>
        </x14:conditionalFormatting>
        <x14:conditionalFormatting xmlns:xm="http://schemas.microsoft.com/office/excel/2006/main">
          <x14:cfRule type="iconSet" priority="164" id="{99D1D216-7005-4849-A020-781079A44E61}">
            <x14:iconSet iconSet="3Symbols" showValue="0" custom="1">
              <x14:cfvo type="percent">
                <xm:f>0</xm:f>
              </x14:cfvo>
              <x14:cfvo type="num">
                <xm:f>0</xm:f>
              </x14:cfvo>
              <x14:cfvo type="num">
                <xm:f>0.5</xm:f>
              </x14:cfvo>
              <x14:cfIcon iconSet="NoIcons" iconId="0"/>
              <x14:cfIcon iconSet="NoIcons" iconId="0"/>
              <x14:cfIcon iconSet="3Symbols" iconId="0"/>
            </x14:iconSet>
          </x14:cfRule>
          <xm:sqref>AD75:AD83</xm:sqref>
        </x14:conditionalFormatting>
        <x14:conditionalFormatting xmlns:xm="http://schemas.microsoft.com/office/excel/2006/main">
          <x14:cfRule type="iconSet" priority="159" id="{81C358DF-5BAE-41F3-A58A-F372E581B3CF}">
            <x14:iconSet iconSet="3Symbols" showValue="0" custom="1">
              <x14:cfvo type="percent">
                <xm:f>0</xm:f>
              </x14:cfvo>
              <x14:cfvo type="num">
                <xm:f>0</xm:f>
              </x14:cfvo>
              <x14:cfvo type="num">
                <xm:f>0.5</xm:f>
              </x14:cfvo>
              <x14:cfIcon iconSet="NoIcons" iconId="0"/>
              <x14:cfIcon iconSet="NoIcons" iconId="0"/>
              <x14:cfIcon iconSet="3Symbols" iconId="0"/>
            </x14:iconSet>
          </x14:cfRule>
          <xm:sqref>O103</xm:sqref>
        </x14:conditionalFormatting>
        <x14:conditionalFormatting xmlns:xm="http://schemas.microsoft.com/office/excel/2006/main">
          <x14:cfRule type="iconSet" priority="158" id="{22B244CC-95AB-424F-8421-3EB1640FC53C}">
            <x14:iconSet iconSet="3Symbols" showValue="0" custom="1">
              <x14:cfvo type="percent">
                <xm:f>0</xm:f>
              </x14:cfvo>
              <x14:cfvo type="num">
                <xm:f>0</xm:f>
              </x14:cfvo>
              <x14:cfvo type="num">
                <xm:f>0.5</xm:f>
              </x14:cfvo>
              <x14:cfIcon iconSet="NoIcons" iconId="0"/>
              <x14:cfIcon iconSet="NoIcons" iconId="0"/>
              <x14:cfIcon iconSet="3Symbols" iconId="0"/>
            </x14:iconSet>
          </x14:cfRule>
          <xm:sqref>O103</xm:sqref>
        </x14:conditionalFormatting>
        <x14:conditionalFormatting xmlns:xm="http://schemas.microsoft.com/office/excel/2006/main">
          <x14:cfRule type="iconSet" priority="157" id="{D2FC8803-5F0A-49B4-9107-F27D3736937A}">
            <x14:iconSet iconSet="3Symbols" showValue="0" custom="1">
              <x14:cfvo type="percent">
                <xm:f>0</xm:f>
              </x14:cfvo>
              <x14:cfvo type="num">
                <xm:f>0</xm:f>
              </x14:cfvo>
              <x14:cfvo type="num">
                <xm:f>0.5</xm:f>
              </x14:cfvo>
              <x14:cfIcon iconSet="NoIcons" iconId="0"/>
              <x14:cfIcon iconSet="NoIcons" iconId="0"/>
              <x14:cfIcon iconSet="3Symbols" iconId="0"/>
            </x14:iconSet>
          </x14:cfRule>
          <xm:sqref>O45</xm:sqref>
        </x14:conditionalFormatting>
        <x14:conditionalFormatting xmlns:xm="http://schemas.microsoft.com/office/excel/2006/main">
          <x14:cfRule type="iconSet" priority="155" id="{28706130-9BF3-4CC5-AAF9-9565542595FA}">
            <x14:iconSet iconSet="3Symbols" showValue="0" custom="1">
              <x14:cfvo type="percent">
                <xm:f>0</xm:f>
              </x14:cfvo>
              <x14:cfvo type="num">
                <xm:f>0</xm:f>
              </x14:cfvo>
              <x14:cfvo type="num">
                <xm:f>0.5</xm:f>
              </x14:cfvo>
              <x14:cfIcon iconSet="NoIcons" iconId="0"/>
              <x14:cfIcon iconSet="NoIcons" iconId="0"/>
              <x14:cfIcon iconSet="3Symbols" iconId="0"/>
            </x14:iconSet>
          </x14:cfRule>
          <xm:sqref>AD85</xm:sqref>
        </x14:conditionalFormatting>
        <x14:conditionalFormatting xmlns:xm="http://schemas.microsoft.com/office/excel/2006/main">
          <x14:cfRule type="iconSet" priority="658" id="{2FA33532-D42A-49F6-B5B7-BA4684BB3394}">
            <x14:iconSet iconSet="3Symbols" showValue="0" custom="1">
              <x14:cfvo type="percent">
                <xm:f>0</xm:f>
              </x14:cfvo>
              <x14:cfvo type="num">
                <xm:f>0</xm:f>
              </x14:cfvo>
              <x14:cfvo type="num">
                <xm:f>0.5</xm:f>
              </x14:cfvo>
              <x14:cfIcon iconSet="NoIcons" iconId="0"/>
              <x14:cfIcon iconSet="NoIcons" iconId="0"/>
              <x14:cfIcon iconSet="3Symbols" iconId="0"/>
            </x14:iconSet>
          </x14:cfRule>
          <xm:sqref>P45</xm:sqref>
        </x14:conditionalFormatting>
        <x14:conditionalFormatting xmlns:xm="http://schemas.microsoft.com/office/excel/2006/main">
          <x14:cfRule type="iconSet" priority="698" id="{3362FDB4-210E-4533-B1CA-0288D62D7B56}">
            <x14:iconSet iconSet="3Symbols" showValue="0" custom="1">
              <x14:cfvo type="percent">
                <xm:f>0</xm:f>
              </x14:cfvo>
              <x14:cfvo type="num">
                <xm:f>0</xm:f>
              </x14:cfvo>
              <x14:cfvo type="num">
                <xm:f>0.5</xm:f>
              </x14:cfvo>
              <x14:cfIcon iconSet="NoIcons" iconId="0"/>
              <x14:cfIcon iconSet="NoIcons" iconId="0"/>
              <x14:cfIcon iconSet="3Symbols" iconId="0"/>
            </x14:iconSet>
          </x14:cfRule>
          <xm:sqref>H728:M728</xm:sqref>
        </x14:conditionalFormatting>
        <x14:conditionalFormatting xmlns:xm="http://schemas.microsoft.com/office/excel/2006/main">
          <x14:cfRule type="iconSet" priority="147" id="{C47A0076-5FC4-43D2-A2D8-6FBE21718971}">
            <x14:iconSet iconSet="3Symbols" showValue="0" custom="1">
              <x14:cfvo type="percent">
                <xm:f>0</xm:f>
              </x14:cfvo>
              <x14:cfvo type="num">
                <xm:f>0</xm:f>
              </x14:cfvo>
              <x14:cfvo type="num">
                <xm:f>0.5</xm:f>
              </x14:cfvo>
              <x14:cfIcon iconSet="NoIcons" iconId="0"/>
              <x14:cfIcon iconSet="NoIcons" iconId="0"/>
              <x14:cfIcon iconSet="3Symbols" iconId="0"/>
            </x14:iconSet>
          </x14:cfRule>
          <xm:sqref>O172:O175</xm:sqref>
        </x14:conditionalFormatting>
        <x14:conditionalFormatting xmlns:xm="http://schemas.microsoft.com/office/excel/2006/main">
          <x14:cfRule type="iconSet" priority="144" id="{87F31CD5-2E7E-4766-ADAD-43B444B585F2}">
            <x14:iconSet iconSet="3Symbols" showValue="0" custom="1">
              <x14:cfvo type="percent">
                <xm:f>0</xm:f>
              </x14:cfvo>
              <x14:cfvo type="num">
                <xm:f>0</xm:f>
              </x14:cfvo>
              <x14:cfvo type="num">
                <xm:f>0.5</xm:f>
              </x14:cfvo>
              <x14:cfIcon iconSet="NoIcons" iconId="0"/>
              <x14:cfIcon iconSet="NoIcons" iconId="0"/>
              <x14:cfIcon iconSet="3Symbols" iconId="0"/>
            </x14:iconSet>
          </x14:cfRule>
          <xm:sqref>O221:O224</xm:sqref>
        </x14:conditionalFormatting>
        <x14:conditionalFormatting xmlns:xm="http://schemas.microsoft.com/office/excel/2006/main">
          <x14:cfRule type="iconSet" priority="139" id="{4DBAF924-64F2-42EB-9B47-125CA249DB9C}">
            <x14:iconSet iconSet="3Symbols" showValue="0" custom="1">
              <x14:cfvo type="percent">
                <xm:f>0</xm:f>
              </x14:cfvo>
              <x14:cfvo type="num">
                <xm:f>0</xm:f>
              </x14:cfvo>
              <x14:cfvo type="num">
                <xm:f>0.5</xm:f>
              </x14:cfvo>
              <x14:cfIcon iconSet="NoIcons" iconId="0"/>
              <x14:cfIcon iconSet="NoIcons" iconId="0"/>
              <x14:cfIcon iconSet="3Symbols" iconId="0"/>
            </x14:iconSet>
          </x14:cfRule>
          <xm:sqref>AD221:AD224</xm:sqref>
        </x14:conditionalFormatting>
        <x14:conditionalFormatting xmlns:xm="http://schemas.microsoft.com/office/excel/2006/main">
          <x14:cfRule type="iconSet" priority="136" id="{CBA79ACE-676B-4722-94CC-0F30B31BD3E5}">
            <x14:iconSet iconSet="3Symbols" showValue="0" custom="1">
              <x14:cfvo type="percent">
                <xm:f>0</xm:f>
              </x14:cfvo>
              <x14:cfvo type="num">
                <xm:f>0</xm:f>
              </x14:cfvo>
              <x14:cfvo type="num">
                <xm:f>0.5</xm:f>
              </x14:cfvo>
              <x14:cfIcon iconSet="NoIcons" iconId="0"/>
              <x14:cfIcon iconSet="NoIcons" iconId="0"/>
              <x14:cfIcon iconSet="3Symbols" iconId="0"/>
            </x14:iconSet>
          </x14:cfRule>
          <xm:sqref>AD91:AD95</xm:sqref>
        </x14:conditionalFormatting>
        <x14:conditionalFormatting xmlns:xm="http://schemas.microsoft.com/office/excel/2006/main">
          <x14:cfRule type="iconSet" priority="135" id="{4AF662A7-C100-4D80-BE72-338EE6C3B8C1}">
            <x14:iconSet iconSet="3Symbols" showValue="0" custom="1">
              <x14:cfvo type="percent">
                <xm:f>0</xm:f>
              </x14:cfvo>
              <x14:cfvo type="num">
                <xm:f>0</xm:f>
              </x14:cfvo>
              <x14:cfvo type="num">
                <xm:f>0.5</xm:f>
              </x14:cfvo>
              <x14:cfIcon iconSet="NoIcons" iconId="0"/>
              <x14:cfIcon iconSet="NoIcons" iconId="0"/>
              <x14:cfIcon iconSet="3Symbols" iconId="0"/>
            </x14:iconSet>
          </x14:cfRule>
          <xm:sqref>AD91:AD95</xm:sqref>
        </x14:conditionalFormatting>
        <x14:conditionalFormatting xmlns:xm="http://schemas.microsoft.com/office/excel/2006/main">
          <x14:cfRule type="iconSet" priority="132" id="{F04CDDA1-2A0D-4932-985A-C1D0B8161081}">
            <x14:iconSet iconSet="3Symbols" showValue="0" custom="1">
              <x14:cfvo type="percent">
                <xm:f>0</xm:f>
              </x14:cfvo>
              <x14:cfvo type="num">
                <xm:f>0</xm:f>
              </x14:cfvo>
              <x14:cfvo type="num">
                <xm:f>0.5</xm:f>
              </x14:cfvo>
              <x14:cfIcon iconSet="NoIcons" iconId="0"/>
              <x14:cfIcon iconSet="NoIcons" iconId="0"/>
              <x14:cfIcon iconSet="3Symbols" iconId="0"/>
            </x14:iconSet>
          </x14:cfRule>
          <xm:sqref>AD172:AD175</xm:sqref>
        </x14:conditionalFormatting>
        <x14:conditionalFormatting xmlns:xm="http://schemas.microsoft.com/office/excel/2006/main">
          <x14:cfRule type="iconSet" priority="131" id="{0D4634B7-6612-4ACB-9278-2328AA308A72}">
            <x14:iconSet iconSet="3Symbols" showValue="0" custom="1">
              <x14:cfvo type="percent">
                <xm:f>0</xm:f>
              </x14:cfvo>
              <x14:cfvo type="num">
                <xm:f>0</xm:f>
              </x14:cfvo>
              <x14:cfvo type="num">
                <xm:f>0.5</xm:f>
              </x14:cfvo>
              <x14:cfIcon iconSet="NoIcons" iconId="0"/>
              <x14:cfIcon iconSet="NoIcons" iconId="0"/>
              <x14:cfIcon iconSet="3Symbols" iconId="0"/>
            </x14:iconSet>
          </x14:cfRule>
          <xm:sqref>AD183</xm:sqref>
        </x14:conditionalFormatting>
        <x14:conditionalFormatting xmlns:xm="http://schemas.microsoft.com/office/excel/2006/main">
          <x14:cfRule type="iconSet" priority="130" id="{F2EFDD0C-831B-43D6-BBE3-3FC2887CA507}">
            <x14:iconSet iconSet="3Symbols" showValue="0" custom="1">
              <x14:cfvo type="percent">
                <xm:f>0</xm:f>
              </x14:cfvo>
              <x14:cfvo type="num">
                <xm:f>0</xm:f>
              </x14:cfvo>
              <x14:cfvo type="num">
                <xm:f>0.5</xm:f>
              </x14:cfvo>
              <x14:cfIcon iconSet="NoIcons" iconId="0"/>
              <x14:cfIcon iconSet="NoIcons" iconId="0"/>
              <x14:cfIcon iconSet="3Symbols" iconId="0"/>
            </x14:iconSet>
          </x14:cfRule>
          <xm:sqref>AD199:AD202</xm:sqref>
        </x14:conditionalFormatting>
        <x14:conditionalFormatting xmlns:xm="http://schemas.microsoft.com/office/excel/2006/main">
          <x14:cfRule type="iconSet" priority="127" id="{CE000E53-A497-4D64-9663-C76CBC5F6D09}">
            <x14:iconSet iconSet="3Symbols" showValue="0" custom="1">
              <x14:cfvo type="percent">
                <xm:f>0</xm:f>
              </x14:cfvo>
              <x14:cfvo type="num">
                <xm:f>0</xm:f>
              </x14:cfvo>
              <x14:cfvo type="num">
                <xm:f>0.5</xm:f>
              </x14:cfvo>
              <x14:cfIcon iconSet="NoIcons" iconId="0"/>
              <x14:cfIcon iconSet="NoIcons" iconId="0"/>
              <x14:cfIcon iconSet="3Symbols" iconId="0"/>
            </x14:iconSet>
          </x14:cfRule>
          <xm:sqref>AD210:AD213</xm:sqref>
        </x14:conditionalFormatting>
        <x14:conditionalFormatting xmlns:xm="http://schemas.microsoft.com/office/excel/2006/main">
          <x14:cfRule type="iconSet" priority="126" id="{DF93454E-5039-43DC-A034-88A446030A3E}">
            <x14:iconSet iconSet="3Symbols" showValue="0" custom="1">
              <x14:cfvo type="percent">
                <xm:f>0</xm:f>
              </x14:cfvo>
              <x14:cfvo type="num">
                <xm:f>0</xm:f>
              </x14:cfvo>
              <x14:cfvo type="num">
                <xm:f>0.5</xm:f>
              </x14:cfvo>
              <x14:cfIcon iconSet="NoIcons" iconId="0"/>
              <x14:cfIcon iconSet="NoIcons" iconId="0"/>
              <x14:cfIcon iconSet="3Symbols" iconId="0"/>
            </x14:iconSet>
          </x14:cfRule>
          <xm:sqref>M249</xm:sqref>
        </x14:conditionalFormatting>
        <x14:conditionalFormatting xmlns:xm="http://schemas.microsoft.com/office/excel/2006/main">
          <x14:cfRule type="iconSet" priority="125" id="{74CCEE02-4C88-4FA5-9122-930649A5C0B1}">
            <x14:iconSet iconSet="3Symbols" showValue="0" custom="1">
              <x14:cfvo type="percent">
                <xm:f>0</xm:f>
              </x14:cfvo>
              <x14:cfvo type="num">
                <xm:f>0</xm:f>
              </x14:cfvo>
              <x14:cfvo type="num">
                <xm:f>0.5</xm:f>
              </x14:cfvo>
              <x14:cfIcon iconSet="NoIcons" iconId="0"/>
              <x14:cfIcon iconSet="NoIcons" iconId="0"/>
              <x14:cfIcon iconSet="3Symbols" iconId="0"/>
            </x14:iconSet>
          </x14:cfRule>
          <xm:sqref>N249</xm:sqref>
        </x14:conditionalFormatting>
        <x14:conditionalFormatting xmlns:xm="http://schemas.microsoft.com/office/excel/2006/main">
          <x14:cfRule type="iconSet" priority="121" id="{CA2A1F40-407D-4D70-923A-13AA1FCC7A2E}">
            <x14:iconSet iconSet="3Symbols" showValue="0" custom="1">
              <x14:cfvo type="percent">
                <xm:f>0</xm:f>
              </x14:cfvo>
              <x14:cfvo type="num">
                <xm:f>0</xm:f>
              </x14:cfvo>
              <x14:cfvo type="num">
                <xm:f>0.5</xm:f>
              </x14:cfvo>
              <x14:cfIcon iconSet="NoIcons" iconId="0"/>
              <x14:cfIcon iconSet="NoIcons" iconId="0"/>
              <x14:cfIcon iconSet="3Symbols" iconId="0"/>
            </x14:iconSet>
          </x14:cfRule>
          <xm:sqref>O253</xm:sqref>
        </x14:conditionalFormatting>
        <x14:conditionalFormatting xmlns:xm="http://schemas.microsoft.com/office/excel/2006/main">
          <x14:cfRule type="iconSet" priority="116" id="{F629950A-E56C-4B7B-BCCE-84420227BA4A}">
            <x14:iconSet iconSet="3Symbols" showValue="0" custom="1">
              <x14:cfvo type="percent">
                <xm:f>0</xm:f>
              </x14:cfvo>
              <x14:cfvo type="num">
                <xm:f>0</xm:f>
              </x14:cfvo>
              <x14:cfvo type="num">
                <xm:f>0.5</xm:f>
              </x14:cfvo>
              <x14:cfIcon iconSet="NoIcons" iconId="0"/>
              <x14:cfIcon iconSet="NoIcons" iconId="0"/>
              <x14:cfIcon iconSet="3Symbols" iconId="0"/>
            </x14:iconSet>
          </x14:cfRule>
          <xm:sqref>K254</xm:sqref>
        </x14:conditionalFormatting>
        <x14:conditionalFormatting xmlns:xm="http://schemas.microsoft.com/office/excel/2006/main">
          <x14:cfRule type="iconSet" priority="115" id="{DC13B2B1-D0DF-4E1B-9FC6-984261EB54C3}">
            <x14:iconSet iconSet="3Symbols" showValue="0" custom="1">
              <x14:cfvo type="percent">
                <xm:f>0</xm:f>
              </x14:cfvo>
              <x14:cfvo type="num">
                <xm:f>0</xm:f>
              </x14:cfvo>
              <x14:cfvo type="num">
                <xm:f>0.5</xm:f>
              </x14:cfvo>
              <x14:cfIcon iconSet="NoIcons" iconId="0"/>
              <x14:cfIcon iconSet="NoIcons" iconId="0"/>
              <x14:cfIcon iconSet="3Symbols" iconId="0"/>
            </x14:iconSet>
          </x14:cfRule>
          <xm:sqref>H245:H246</xm:sqref>
        </x14:conditionalFormatting>
        <x14:conditionalFormatting xmlns:xm="http://schemas.microsoft.com/office/excel/2006/main">
          <x14:cfRule type="iconSet" priority="1209" id="{2A2473C6-60BA-4D87-8101-DD1F6A52476B}">
            <x14:iconSet iconSet="3Symbols" showValue="0" custom="1">
              <x14:cfvo type="percent">
                <xm:f>0</xm:f>
              </x14:cfvo>
              <x14:cfvo type="num">
                <xm:f>0</xm:f>
              </x14:cfvo>
              <x14:cfvo type="num">
                <xm:f>0.5</xm:f>
              </x14:cfvo>
              <x14:cfIcon iconSet="NoIcons" iconId="0"/>
              <x14:cfIcon iconSet="NoIcons" iconId="0"/>
              <x14:cfIcon iconSet="3Symbols" iconId="0"/>
            </x14:iconSet>
          </x14:cfRule>
          <xm:sqref>O254:O255</xm:sqref>
        </x14:conditionalFormatting>
        <x14:conditionalFormatting xmlns:xm="http://schemas.microsoft.com/office/excel/2006/main">
          <x14:cfRule type="iconSet" priority="1210" id="{4E1C927A-0598-40C0-9CF4-4FA50FF694B7}">
            <x14:iconSet iconSet="3Symbols" showValue="0" custom="1">
              <x14:cfvo type="percent">
                <xm:f>0</xm:f>
              </x14:cfvo>
              <x14:cfvo type="num">
                <xm:f>0</xm:f>
              </x14:cfvo>
              <x14:cfvo type="num">
                <xm:f>0.5</xm:f>
              </x14:cfvo>
              <x14:cfIcon iconSet="NoIcons" iconId="0"/>
              <x14:cfIcon iconSet="NoIcons" iconId="0"/>
              <x14:cfIcon iconSet="3Symbols" iconId="0"/>
            </x14:iconSet>
          </x14:cfRule>
          <xm:sqref>O253:O268</xm:sqref>
        </x14:conditionalFormatting>
        <x14:conditionalFormatting xmlns:xm="http://schemas.microsoft.com/office/excel/2006/main">
          <x14:cfRule type="iconSet" priority="114" id="{6CE081F7-B782-4AC0-837B-11B2DDC97A0E}">
            <x14:iconSet iconSet="3Symbols" showValue="0" custom="1">
              <x14:cfvo type="percent">
                <xm:f>0</xm:f>
              </x14:cfvo>
              <x14:cfvo type="num">
                <xm:f>0</xm:f>
              </x14:cfvo>
              <x14:cfvo type="num">
                <xm:f>0.5</xm:f>
              </x14:cfvo>
              <x14:cfIcon iconSet="NoIcons" iconId="0"/>
              <x14:cfIcon iconSet="NoIcons" iconId="0"/>
              <x14:cfIcon iconSet="3Symbols" iconId="0"/>
            </x14:iconSet>
          </x14:cfRule>
          <xm:sqref>L172:L175</xm:sqref>
        </x14:conditionalFormatting>
        <x14:conditionalFormatting xmlns:xm="http://schemas.microsoft.com/office/excel/2006/main">
          <x14:cfRule type="iconSet" priority="113" id="{A25FCE8C-D4E5-4016-A462-1353A0DE856F}">
            <x14:iconSet iconSet="3Symbols" showValue="0" custom="1">
              <x14:cfvo type="percent">
                <xm:f>0</xm:f>
              </x14:cfvo>
              <x14:cfvo type="num">
                <xm:f>0</xm:f>
              </x14:cfvo>
              <x14:cfvo type="num">
                <xm:f>0.5</xm:f>
              </x14:cfvo>
              <x14:cfIcon iconSet="NoIcons" iconId="0"/>
              <x14:cfIcon iconSet="NoIcons" iconId="0"/>
              <x14:cfIcon iconSet="3Symbols" iconId="0"/>
            </x14:iconSet>
          </x14:cfRule>
          <xm:sqref>L183:L190</xm:sqref>
        </x14:conditionalFormatting>
        <x14:conditionalFormatting xmlns:xm="http://schemas.microsoft.com/office/excel/2006/main">
          <x14:cfRule type="iconSet" priority="111" id="{C7DC5630-C084-47B4-B1DE-5EED292CE73B}">
            <x14:iconSet iconSet="3Symbols" showValue="0" custom="1">
              <x14:cfvo type="percent">
                <xm:f>0</xm:f>
              </x14:cfvo>
              <x14:cfvo type="num">
                <xm:f>0</xm:f>
              </x14:cfvo>
              <x14:cfvo type="num">
                <xm:f>0.5</xm:f>
              </x14:cfvo>
              <x14:cfIcon iconSet="NoIcons" iconId="0"/>
              <x14:cfIcon iconSet="NoIcons" iconId="0"/>
              <x14:cfIcon iconSet="3Symbols" iconId="0"/>
            </x14:iconSet>
          </x14:cfRule>
          <xm:sqref>L199:L202</xm:sqref>
        </x14:conditionalFormatting>
        <x14:conditionalFormatting xmlns:xm="http://schemas.microsoft.com/office/excel/2006/main">
          <x14:cfRule type="iconSet" priority="109" id="{68D60BDD-B68E-4A22-AA84-855B01A31EEA}">
            <x14:iconSet iconSet="3Symbols" showValue="0" custom="1">
              <x14:cfvo type="percent">
                <xm:f>0</xm:f>
              </x14:cfvo>
              <x14:cfvo type="num">
                <xm:f>0</xm:f>
              </x14:cfvo>
              <x14:cfvo type="num">
                <xm:f>0.5</xm:f>
              </x14:cfvo>
              <x14:cfIcon iconSet="NoIcons" iconId="0"/>
              <x14:cfIcon iconSet="NoIcons" iconId="0"/>
              <x14:cfIcon iconSet="3Symbols" iconId="0"/>
            </x14:iconSet>
          </x14:cfRule>
          <xm:sqref>L210:L213</xm:sqref>
        </x14:conditionalFormatting>
        <x14:conditionalFormatting xmlns:xm="http://schemas.microsoft.com/office/excel/2006/main">
          <x14:cfRule type="iconSet" priority="106" id="{4BB8E885-4F4F-4284-96A0-45B0700C5B77}">
            <x14:iconSet iconSet="3Symbols" showValue="0" custom="1">
              <x14:cfvo type="percent">
                <xm:f>0</xm:f>
              </x14:cfvo>
              <x14:cfvo type="num">
                <xm:f>0</xm:f>
              </x14:cfvo>
              <x14:cfvo type="num">
                <xm:f>0.5</xm:f>
              </x14:cfvo>
              <x14:cfIcon iconSet="NoIcons" iconId="0"/>
              <x14:cfIcon iconSet="NoIcons" iconId="0"/>
              <x14:cfIcon iconSet="3Symbols" iconId="0"/>
            </x14:iconSet>
          </x14:cfRule>
          <xm:sqref>O79:O83</xm:sqref>
        </x14:conditionalFormatting>
        <x14:conditionalFormatting xmlns:xm="http://schemas.microsoft.com/office/excel/2006/main">
          <x14:cfRule type="iconSet" priority="105" id="{966EFC1F-37C0-4945-BF9F-0ABC99FDBD3B}">
            <x14:iconSet iconSet="3Symbols" showValue="0" custom="1">
              <x14:cfvo type="percent">
                <xm:f>0</xm:f>
              </x14:cfvo>
              <x14:cfvo type="num">
                <xm:f>0</xm:f>
              </x14:cfvo>
              <x14:cfvo type="num">
                <xm:f>0.5</xm:f>
              </x14:cfvo>
              <x14:cfIcon iconSet="NoIcons" iconId="0"/>
              <x14:cfIcon iconSet="NoIcons" iconId="0"/>
              <x14:cfIcon iconSet="3Symbols" iconId="0"/>
            </x14:iconSet>
          </x14:cfRule>
          <xm:sqref>O79:O83</xm:sqref>
        </x14:conditionalFormatting>
        <x14:conditionalFormatting xmlns:xm="http://schemas.microsoft.com/office/excel/2006/main">
          <x14:cfRule type="iconSet" priority="104" id="{19B01870-55DE-49D5-8E79-7DD488707350}">
            <x14:iconSet iconSet="3Symbols" showValue="0" custom="1">
              <x14:cfvo type="percent">
                <xm:f>0</xm:f>
              </x14:cfvo>
              <x14:cfvo type="num">
                <xm:f>0</xm:f>
              </x14:cfvo>
              <x14:cfvo type="num">
                <xm:f>0.5</xm:f>
              </x14:cfvo>
              <x14:cfIcon iconSet="NoIcons" iconId="0"/>
              <x14:cfIcon iconSet="NoIcons" iconId="0"/>
              <x14:cfIcon iconSet="3Symbols" iconId="0"/>
            </x14:iconSet>
          </x14:cfRule>
          <xm:sqref>AF18</xm:sqref>
        </x14:conditionalFormatting>
        <x14:conditionalFormatting xmlns:xm="http://schemas.microsoft.com/office/excel/2006/main">
          <x14:cfRule type="iconSet" priority="103" id="{7BCB760C-C0DD-4E79-A8B2-D3F4444E84AE}">
            <x14:iconSet iconSet="3Symbols" showValue="0" custom="1">
              <x14:cfvo type="percent">
                <xm:f>0</xm:f>
              </x14:cfvo>
              <x14:cfvo type="num">
                <xm:f>0</xm:f>
              </x14:cfvo>
              <x14:cfvo type="num">
                <xm:f>0.5</xm:f>
              </x14:cfvo>
              <x14:cfIcon iconSet="NoIcons" iconId="0"/>
              <x14:cfIcon iconSet="NoIcons" iconId="0"/>
              <x14:cfIcon iconSet="3Symbols" iconId="0"/>
            </x14:iconSet>
          </x14:cfRule>
          <xm:sqref>AF19</xm:sqref>
        </x14:conditionalFormatting>
        <x14:conditionalFormatting xmlns:xm="http://schemas.microsoft.com/office/excel/2006/main">
          <x14:cfRule type="iconSet" priority="102" id="{BE5592A3-6BF9-412C-8660-0C17106CD2AB}">
            <x14:iconSet iconSet="3Symbols" showValue="0" custom="1">
              <x14:cfvo type="percent">
                <xm:f>0</xm:f>
              </x14:cfvo>
              <x14:cfvo type="num">
                <xm:f>0</xm:f>
              </x14:cfvo>
              <x14:cfvo type="num">
                <xm:f>0.5</xm:f>
              </x14:cfvo>
              <x14:cfIcon iconSet="NoIcons" iconId="0"/>
              <x14:cfIcon iconSet="NoIcons" iconId="0"/>
              <x14:cfIcon iconSet="3Symbols" iconId="0"/>
            </x14:iconSet>
          </x14:cfRule>
          <xm:sqref>AF20</xm:sqref>
        </x14:conditionalFormatting>
        <x14:conditionalFormatting xmlns:xm="http://schemas.microsoft.com/office/excel/2006/main">
          <x14:cfRule type="iconSet" priority="99" id="{68B44A62-1CDE-4C6E-BB5D-20ECAFE42C31}">
            <x14:iconSet iconSet="3Symbols" showValue="0" custom="1">
              <x14:cfvo type="percent">
                <xm:f>0</xm:f>
              </x14:cfvo>
              <x14:cfvo type="num">
                <xm:f>0</xm:f>
              </x14:cfvo>
              <x14:cfvo type="num">
                <xm:f>0.5</xm:f>
              </x14:cfvo>
              <x14:cfIcon iconSet="NoIcons" iconId="0"/>
              <x14:cfIcon iconSet="NoIcons" iconId="0"/>
              <x14:cfIcon iconSet="3Symbols" iconId="0"/>
            </x14:iconSet>
          </x14:cfRule>
          <xm:sqref>O165</xm:sqref>
        </x14:conditionalFormatting>
        <x14:conditionalFormatting xmlns:xm="http://schemas.microsoft.com/office/excel/2006/main">
          <x14:cfRule type="iconSet" priority="98" id="{933E7911-05AC-4542-914B-3848D705CF17}">
            <x14:iconSet iconSet="3Symbols" showValue="0" custom="1">
              <x14:cfvo type="percent">
                <xm:f>0</xm:f>
              </x14:cfvo>
              <x14:cfvo type="num">
                <xm:f>0</xm:f>
              </x14:cfvo>
              <x14:cfvo type="num">
                <xm:f>0.5</xm:f>
              </x14:cfvo>
              <x14:cfIcon iconSet="NoIcons" iconId="0"/>
              <x14:cfIcon iconSet="NoIcons" iconId="0"/>
              <x14:cfIcon iconSet="3Symbols" iconId="0"/>
            </x14:iconSet>
          </x14:cfRule>
          <xm:sqref>O165</xm:sqref>
        </x14:conditionalFormatting>
        <x14:conditionalFormatting xmlns:xm="http://schemas.microsoft.com/office/excel/2006/main">
          <x14:cfRule type="iconSet" priority="97" id="{5BDD87D8-1D56-4CF8-8ECA-D49F539792A6}">
            <x14:iconSet iconSet="3Symbols" showValue="0" custom="1">
              <x14:cfvo type="percent">
                <xm:f>0</xm:f>
              </x14:cfvo>
              <x14:cfvo type="num">
                <xm:f>0</xm:f>
              </x14:cfvo>
              <x14:cfvo type="num">
                <xm:f>0.5</xm:f>
              </x14:cfvo>
              <x14:cfIcon iconSet="NoIcons" iconId="0"/>
              <x14:cfIcon iconSet="NoIcons" iconId="0"/>
              <x14:cfIcon iconSet="3Symbols" iconId="0"/>
            </x14:iconSet>
          </x14:cfRule>
          <xm:sqref>O166</xm:sqref>
        </x14:conditionalFormatting>
        <x14:conditionalFormatting xmlns:xm="http://schemas.microsoft.com/office/excel/2006/main">
          <x14:cfRule type="iconSet" priority="96" id="{0EEAADE4-4E50-4955-95E6-03F75E6B5FB7}">
            <x14:iconSet iconSet="3Symbols" showValue="0" custom="1">
              <x14:cfvo type="percent">
                <xm:f>0</xm:f>
              </x14:cfvo>
              <x14:cfvo type="num">
                <xm:f>0</xm:f>
              </x14:cfvo>
              <x14:cfvo type="num">
                <xm:f>0.5</xm:f>
              </x14:cfvo>
              <x14:cfIcon iconSet="NoIcons" iconId="0"/>
              <x14:cfIcon iconSet="NoIcons" iconId="0"/>
              <x14:cfIcon iconSet="3Symbols" iconId="0"/>
            </x14:iconSet>
          </x14:cfRule>
          <xm:sqref>O97</xm:sqref>
        </x14:conditionalFormatting>
        <x14:conditionalFormatting xmlns:xm="http://schemas.microsoft.com/office/excel/2006/main">
          <x14:cfRule type="iconSet" priority="95" id="{5C1C3B4A-2AED-4A95-BED3-4D9F62A9E646}">
            <x14:iconSet iconSet="3Symbols" showValue="0" custom="1">
              <x14:cfvo type="percent">
                <xm:f>0</xm:f>
              </x14:cfvo>
              <x14:cfvo type="num">
                <xm:f>0</xm:f>
              </x14:cfvo>
              <x14:cfvo type="num">
                <xm:f>0.5</xm:f>
              </x14:cfvo>
              <x14:cfIcon iconSet="NoIcons" iconId="0"/>
              <x14:cfIcon iconSet="NoIcons" iconId="0"/>
              <x14:cfIcon iconSet="3Symbols" iconId="0"/>
            </x14:iconSet>
          </x14:cfRule>
          <xm:sqref>O97</xm:sqref>
        </x14:conditionalFormatting>
        <x14:conditionalFormatting xmlns:xm="http://schemas.microsoft.com/office/excel/2006/main">
          <x14:cfRule type="iconSet" priority="94" id="{C13E6076-74A7-46FC-A59E-188579914BCC}">
            <x14:iconSet iconSet="3Symbols" showValue="0" custom="1">
              <x14:cfvo type="percent">
                <xm:f>0</xm:f>
              </x14:cfvo>
              <x14:cfvo type="num">
                <xm:f>0</xm:f>
              </x14:cfvo>
              <x14:cfvo type="num">
                <xm:f>0.5</xm:f>
              </x14:cfvo>
              <x14:cfIcon iconSet="NoIcons" iconId="0"/>
              <x14:cfIcon iconSet="NoIcons" iconId="0"/>
              <x14:cfIcon iconSet="3Symbols" iconId="0"/>
            </x14:iconSet>
          </x14:cfRule>
          <xm:sqref>O300</xm:sqref>
        </x14:conditionalFormatting>
        <x14:conditionalFormatting xmlns:xm="http://schemas.microsoft.com/office/excel/2006/main">
          <x14:cfRule type="iconSet" priority="93" id="{C2932282-F6B4-4F52-A571-31849D05EDA7}">
            <x14:iconSet iconSet="3Symbols" showValue="0" custom="1">
              <x14:cfvo type="percent">
                <xm:f>0</xm:f>
              </x14:cfvo>
              <x14:cfvo type="num">
                <xm:f>0</xm:f>
              </x14:cfvo>
              <x14:cfvo type="num">
                <xm:f>0.5</xm:f>
              </x14:cfvo>
              <x14:cfIcon iconSet="NoIcons" iconId="0"/>
              <x14:cfIcon iconSet="NoIcons" iconId="0"/>
              <x14:cfIcon iconSet="3Symbols" iconId="0"/>
            </x14:iconSet>
          </x14:cfRule>
          <xm:sqref>O301:O302</xm:sqref>
        </x14:conditionalFormatting>
        <x14:conditionalFormatting xmlns:xm="http://schemas.microsoft.com/office/excel/2006/main">
          <x14:cfRule type="iconSet" priority="92" id="{1659F814-5843-4400-A876-EB339662463D}">
            <x14:iconSet iconSet="3Symbols" showValue="0" custom="1">
              <x14:cfvo type="percent">
                <xm:f>0</xm:f>
              </x14:cfvo>
              <x14:cfvo type="num">
                <xm:f>0</xm:f>
              </x14:cfvo>
              <x14:cfvo type="num">
                <xm:f>0.5</xm:f>
              </x14:cfvo>
              <x14:cfIcon iconSet="NoIcons" iconId="0"/>
              <x14:cfIcon iconSet="NoIcons" iconId="0"/>
              <x14:cfIcon iconSet="3Symbols" iconId="0"/>
            </x14:iconSet>
          </x14:cfRule>
          <xm:sqref>G483:G484</xm:sqref>
        </x14:conditionalFormatting>
        <x14:conditionalFormatting xmlns:xm="http://schemas.microsoft.com/office/excel/2006/main">
          <x14:cfRule type="iconSet" priority="90" id="{4A69CBB0-D768-43D0-99F5-BE072BF94273}">
            <x14:iconSet iconSet="3Symbols" showValue="0" custom="1">
              <x14:cfvo type="percent">
                <xm:f>0</xm:f>
              </x14:cfvo>
              <x14:cfvo type="num">
                <xm:f>0</xm:f>
              </x14:cfvo>
              <x14:cfvo type="num">
                <xm:f>0.5</xm:f>
              </x14:cfvo>
              <x14:cfIcon iconSet="NoIcons" iconId="0"/>
              <x14:cfIcon iconSet="NoIcons" iconId="0"/>
              <x14:cfIcon iconSet="3Symbols" iconId="0"/>
            </x14:iconSet>
          </x14:cfRule>
          <xm:sqref>O74:O83</xm:sqref>
        </x14:conditionalFormatting>
        <x14:conditionalFormatting xmlns:xm="http://schemas.microsoft.com/office/excel/2006/main">
          <x14:cfRule type="iconSet" priority="89" id="{5A52201B-A37B-4344-B2D9-6BDECA3BE8AF}">
            <x14:iconSet iconSet="3Symbols" showValue="0" custom="1">
              <x14:cfvo type="percent">
                <xm:f>0</xm:f>
              </x14:cfvo>
              <x14:cfvo type="num">
                <xm:f>0</xm:f>
              </x14:cfvo>
              <x14:cfvo type="num">
                <xm:f>0.5</xm:f>
              </x14:cfvo>
              <x14:cfIcon iconSet="NoIcons" iconId="0"/>
              <x14:cfIcon iconSet="NoIcons" iconId="0"/>
              <x14:cfIcon iconSet="3Symbols" iconId="0"/>
            </x14:iconSet>
          </x14:cfRule>
          <xm:sqref>O74:O83</xm:sqref>
        </x14:conditionalFormatting>
        <x14:conditionalFormatting xmlns:xm="http://schemas.microsoft.com/office/excel/2006/main">
          <x14:cfRule type="iconSet" priority="88" id="{B8B557FF-9820-40D1-AA18-5D8529207BFF}">
            <x14:iconSet iconSet="3Symbols" showValue="0" custom="1">
              <x14:cfvo type="percent">
                <xm:f>0</xm:f>
              </x14:cfvo>
              <x14:cfvo type="num">
                <xm:f>0</xm:f>
              </x14:cfvo>
              <x14:cfvo type="num">
                <xm:f>0.5</xm:f>
              </x14:cfvo>
              <x14:cfIcon iconSet="NoIcons" iconId="0"/>
              <x14:cfIcon iconSet="NoIcons" iconId="0"/>
              <x14:cfIcon iconSet="3Symbols" iconId="0"/>
            </x14:iconSet>
          </x14:cfRule>
          <xm:sqref>H492</xm:sqref>
        </x14:conditionalFormatting>
        <x14:conditionalFormatting xmlns:xm="http://schemas.microsoft.com/office/excel/2006/main">
          <x14:cfRule type="iconSet" priority="85" id="{D1ECB379-6DCF-43F1-808F-D17FD184AC57}">
            <x14:iconSet iconSet="3Symbols" showValue="0" custom="1">
              <x14:cfvo type="percent">
                <xm:f>0</xm:f>
              </x14:cfvo>
              <x14:cfvo type="num">
                <xm:f>0</xm:f>
              </x14:cfvo>
              <x14:cfvo type="num">
                <xm:f>0.5</xm:f>
              </x14:cfvo>
              <x14:cfIcon iconSet="NoIcons" iconId="0"/>
              <x14:cfIcon iconSet="NoIcons" iconId="0"/>
              <x14:cfIcon iconSet="3Symbols" iconId="0"/>
            </x14:iconSet>
          </x14:cfRule>
          <xm:sqref>G542:G543 G547</xm:sqref>
        </x14:conditionalFormatting>
        <x14:conditionalFormatting xmlns:xm="http://schemas.microsoft.com/office/excel/2006/main">
          <x14:cfRule type="iconSet" priority="86" id="{B0FE646F-BA4F-4050-AD03-BBF0AF20FF07}">
            <x14:iconSet iconSet="3Symbols" showValue="0" custom="1">
              <x14:cfvo type="percent">
                <xm:f>0</xm:f>
              </x14:cfvo>
              <x14:cfvo type="num">
                <xm:f>0</xm:f>
              </x14:cfvo>
              <x14:cfvo type="num">
                <xm:f>0.5</xm:f>
              </x14:cfvo>
              <x14:cfIcon iconSet="NoIcons" iconId="0"/>
              <x14:cfIcon iconSet="NoIcons" iconId="0"/>
              <x14:cfIcon iconSet="3Symbols" iconId="0"/>
            </x14:iconSet>
          </x14:cfRule>
          <xm:sqref>H550</xm:sqref>
        </x14:conditionalFormatting>
        <x14:conditionalFormatting xmlns:xm="http://schemas.microsoft.com/office/excel/2006/main">
          <x14:cfRule type="iconSet" priority="83" id="{C2D35DDA-153B-4071-8728-9F0ED45E398F}">
            <x14:iconSet iconSet="3Symbols" showValue="0" custom="1">
              <x14:cfvo type="percent">
                <xm:f>0</xm:f>
              </x14:cfvo>
              <x14:cfvo type="num">
                <xm:f>0</xm:f>
              </x14:cfvo>
              <x14:cfvo type="num">
                <xm:f>0.5</xm:f>
              </x14:cfvo>
              <x14:cfIcon iconSet="NoIcons" iconId="0"/>
              <x14:cfIcon iconSet="NoIcons" iconId="0"/>
              <x14:cfIcon iconSet="3Symbols" iconId="0"/>
            </x14:iconSet>
          </x14:cfRule>
          <xm:sqref>G548</xm:sqref>
        </x14:conditionalFormatting>
        <x14:conditionalFormatting xmlns:xm="http://schemas.microsoft.com/office/excel/2006/main">
          <x14:cfRule type="iconSet" priority="82" id="{6CF6F73B-6AC9-4A35-A530-9167A8631565}">
            <x14:iconSet iconSet="3Symbols" showValue="0" custom="1">
              <x14:cfvo type="percent">
                <xm:f>0</xm:f>
              </x14:cfvo>
              <x14:cfvo type="num">
                <xm:f>0</xm:f>
              </x14:cfvo>
              <x14:cfvo type="num">
                <xm:f>0.5</xm:f>
              </x14:cfvo>
              <x14:cfIcon iconSet="NoIcons" iconId="0"/>
              <x14:cfIcon iconSet="NoIcons" iconId="0"/>
              <x14:cfIcon iconSet="3Symbols" iconId="0"/>
            </x14:iconSet>
          </x14:cfRule>
          <xm:sqref>H567:H569</xm:sqref>
        </x14:conditionalFormatting>
        <x14:conditionalFormatting xmlns:xm="http://schemas.microsoft.com/office/excel/2006/main">
          <x14:cfRule type="iconSet" priority="81" id="{AE3BC76D-FC20-47F5-8FDC-29A70E235460}">
            <x14:iconSet iconSet="3Symbols" showValue="0" custom="1">
              <x14:cfvo type="percent">
                <xm:f>0</xm:f>
              </x14:cfvo>
              <x14:cfvo type="num">
                <xm:f>0</xm:f>
              </x14:cfvo>
              <x14:cfvo type="num">
                <xm:f>0.5</xm:f>
              </x14:cfvo>
              <x14:cfIcon iconSet="NoIcons" iconId="0"/>
              <x14:cfIcon iconSet="NoIcons" iconId="0"/>
              <x14:cfIcon iconSet="3Symbols" iconId="0"/>
            </x14:iconSet>
          </x14:cfRule>
          <xm:sqref>G434</xm:sqref>
        </x14:conditionalFormatting>
        <x14:conditionalFormatting xmlns:xm="http://schemas.microsoft.com/office/excel/2006/main">
          <x14:cfRule type="iconSet" priority="78" id="{0738776D-4FC4-45A8-B622-1F402D14A5B8}">
            <x14:iconSet iconSet="3Symbols" showValue="0" custom="1">
              <x14:cfvo type="percent">
                <xm:f>0</xm:f>
              </x14:cfvo>
              <x14:cfvo type="num">
                <xm:f>0</xm:f>
              </x14:cfvo>
              <x14:cfvo type="num">
                <xm:f>0.5</xm:f>
              </x14:cfvo>
              <x14:cfIcon iconSet="NoIcons" iconId="0"/>
              <x14:cfIcon iconSet="NoIcons" iconId="0"/>
              <x14:cfIcon iconSet="3Symbols" iconId="0"/>
            </x14:iconSet>
          </x14:cfRule>
          <xm:sqref>P728</xm:sqref>
        </x14:conditionalFormatting>
        <x14:conditionalFormatting xmlns:xm="http://schemas.microsoft.com/office/excel/2006/main">
          <x14:cfRule type="iconSet" priority="79" id="{A8C64C61-B65B-43B0-987D-988B8AAE1B57}">
            <x14:iconSet iconSet="3Symbols" showValue="0" custom="1">
              <x14:cfvo type="percent">
                <xm:f>0</xm:f>
              </x14:cfvo>
              <x14:cfvo type="num">
                <xm:f>0</xm:f>
              </x14:cfvo>
              <x14:cfvo type="num">
                <xm:f>0.5</xm:f>
              </x14:cfvo>
              <x14:cfIcon iconSet="NoIcons" iconId="0"/>
              <x14:cfIcon iconSet="NoIcons" iconId="0"/>
              <x14:cfIcon iconSet="3Symbols" iconId="0"/>
            </x14:iconSet>
          </x14:cfRule>
          <xm:sqref>N728</xm:sqref>
        </x14:conditionalFormatting>
        <x14:conditionalFormatting xmlns:xm="http://schemas.microsoft.com/office/excel/2006/main">
          <x14:cfRule type="iconSet" priority="77" id="{3E19D8DC-0C82-420E-B2CB-E6E5641885F4}">
            <x14:iconSet iconSet="3Symbols" showValue="0" custom="1">
              <x14:cfvo type="percent">
                <xm:f>0</xm:f>
              </x14:cfvo>
              <x14:cfvo type="num">
                <xm:f>0</xm:f>
              </x14:cfvo>
              <x14:cfvo type="num">
                <xm:f>0.5</xm:f>
              </x14:cfvo>
              <x14:cfIcon iconSet="NoIcons" iconId="0"/>
              <x14:cfIcon iconSet="NoIcons" iconId="0"/>
              <x14:cfIcon iconSet="3Symbols" iconId="0"/>
            </x14:iconSet>
          </x14:cfRule>
          <xm:sqref>R728</xm:sqref>
        </x14:conditionalFormatting>
        <x14:conditionalFormatting xmlns:xm="http://schemas.microsoft.com/office/excel/2006/main">
          <x14:cfRule type="iconSet" priority="74" id="{3D7BC94C-29DD-40F4-AF33-FD74B744C5EB}">
            <x14:iconSet iconSet="3Symbols" showValue="0" custom="1">
              <x14:cfvo type="percent">
                <xm:f>0</xm:f>
              </x14:cfvo>
              <x14:cfvo type="num">
                <xm:f>0</xm:f>
              </x14:cfvo>
              <x14:cfvo type="num">
                <xm:f>0.5</xm:f>
              </x14:cfvo>
              <x14:cfIcon iconSet="NoIcons" iconId="0"/>
              <x14:cfIcon iconSet="NoIcons" iconId="0"/>
              <x14:cfIcon iconSet="3Symbols" iconId="0"/>
            </x14:iconSet>
          </x14:cfRule>
          <xm:sqref>G504:G505 G507 G510</xm:sqref>
        </x14:conditionalFormatting>
        <x14:conditionalFormatting xmlns:xm="http://schemas.microsoft.com/office/excel/2006/main">
          <x14:cfRule type="iconSet" priority="72" id="{059F05BB-205A-4C8D-9C43-13E06E3A3DBB}">
            <x14:iconSet iconSet="3Symbols" showValue="0" custom="1">
              <x14:cfvo type="percent">
                <xm:f>0</xm:f>
              </x14:cfvo>
              <x14:cfvo type="num">
                <xm:f>0</xm:f>
              </x14:cfvo>
              <x14:cfvo type="num">
                <xm:f>0.5</xm:f>
              </x14:cfvo>
              <x14:cfIcon iconSet="NoIcons" iconId="0"/>
              <x14:cfIcon iconSet="NoIcons" iconId="0"/>
              <x14:cfIcon iconSet="3Symbols" iconId="0"/>
            </x14:iconSet>
          </x14:cfRule>
          <xm:sqref>G511</xm:sqref>
        </x14:conditionalFormatting>
        <x14:conditionalFormatting xmlns:xm="http://schemas.microsoft.com/office/excel/2006/main">
          <x14:cfRule type="iconSet" priority="1306" id="{D755E705-7470-4B1D-BB6A-0A36338C380E}">
            <x14:iconSet iconSet="3Symbols" showValue="0" custom="1">
              <x14:cfvo type="percent">
                <xm:f>0</xm:f>
              </x14:cfvo>
              <x14:cfvo type="num">
                <xm:f>0</xm:f>
              </x14:cfvo>
              <x14:cfvo type="num">
                <xm:f>0.5</xm:f>
              </x14:cfvo>
              <x14:cfIcon iconSet="NoIcons" iconId="0"/>
              <x14:cfIcon iconSet="NoIcons" iconId="0"/>
              <x14:cfIcon iconSet="3Symbols" iconId="0"/>
            </x14:iconSet>
          </x14:cfRule>
          <xm:sqref>H513</xm:sqref>
        </x14:conditionalFormatting>
        <x14:conditionalFormatting xmlns:xm="http://schemas.microsoft.com/office/excel/2006/main">
          <x14:cfRule type="iconSet" priority="71" id="{52C18A83-F667-408D-80F3-A7223E1BB487}">
            <x14:iconSet iconSet="3Symbols" showValue="0" custom="1">
              <x14:cfvo type="percent">
                <xm:f>0</xm:f>
              </x14:cfvo>
              <x14:cfvo type="num">
                <xm:f>0</xm:f>
              </x14:cfvo>
              <x14:cfvo type="num">
                <xm:f>0.5</xm:f>
              </x14:cfvo>
              <x14:cfIcon iconSet="NoIcons" iconId="0"/>
              <x14:cfIcon iconSet="NoIcons" iconId="0"/>
              <x14:cfIcon iconSet="3Symbols" iconId="0"/>
            </x14:iconSet>
          </x14:cfRule>
          <xm:sqref>E739:J739</xm:sqref>
        </x14:conditionalFormatting>
        <x14:conditionalFormatting xmlns:xm="http://schemas.microsoft.com/office/excel/2006/main">
          <x14:cfRule type="iconSet" priority="67" id="{229EFE0B-C299-42E1-83E7-BBE34783190D}">
            <x14:iconSet iconSet="3Symbols" showValue="0" custom="1">
              <x14:cfvo type="percent">
                <xm:f>0</xm:f>
              </x14:cfvo>
              <x14:cfvo type="num">
                <xm:f>0</xm:f>
              </x14:cfvo>
              <x14:cfvo type="num">
                <xm:f>0.5</xm:f>
              </x14:cfvo>
              <x14:cfIcon iconSet="NoIcons" iconId="0"/>
              <x14:cfIcon iconSet="NoIcons" iconId="0"/>
              <x14:cfIcon iconSet="3Symbols" iconId="0"/>
            </x14:iconSet>
          </x14:cfRule>
          <xm:sqref>K739</xm:sqref>
        </x14:conditionalFormatting>
        <x14:conditionalFormatting xmlns:xm="http://schemas.microsoft.com/office/excel/2006/main">
          <x14:cfRule type="iconSet" priority="66" id="{FEAF7B4B-6C84-4CF1-BE8F-C4F07C740204}">
            <x14:iconSet iconSet="3Symbols" showValue="0" custom="1">
              <x14:cfvo type="percent">
                <xm:f>0</xm:f>
              </x14:cfvo>
              <x14:cfvo type="num">
                <xm:f>0</xm:f>
              </x14:cfvo>
              <x14:cfvo type="num">
                <xm:f>0.5</xm:f>
              </x14:cfvo>
              <x14:cfIcon iconSet="NoIcons" iconId="0"/>
              <x14:cfIcon iconSet="NoIcons" iconId="0"/>
              <x14:cfIcon iconSet="3Symbols" iconId="0"/>
            </x14:iconSet>
          </x14:cfRule>
          <xm:sqref>L739</xm:sqref>
        </x14:conditionalFormatting>
        <x14:conditionalFormatting xmlns:xm="http://schemas.microsoft.com/office/excel/2006/main">
          <x14:cfRule type="iconSet" priority="65" id="{9F088BF4-D24D-46D3-B94D-E56D0C879A56}">
            <x14:iconSet iconSet="3Symbols" showValue="0" custom="1">
              <x14:cfvo type="percent">
                <xm:f>0</xm:f>
              </x14:cfvo>
              <x14:cfvo type="num">
                <xm:f>0</xm:f>
              </x14:cfvo>
              <x14:cfvo type="num">
                <xm:f>0.5</xm:f>
              </x14:cfvo>
              <x14:cfIcon iconSet="NoIcons" iconId="0"/>
              <x14:cfIcon iconSet="NoIcons" iconId="0"/>
              <x14:cfIcon iconSet="3Symbols" iconId="0"/>
            </x14:iconSet>
          </x14:cfRule>
          <xm:sqref>O739</xm:sqref>
        </x14:conditionalFormatting>
        <x14:conditionalFormatting xmlns:xm="http://schemas.microsoft.com/office/excel/2006/main">
          <x14:cfRule type="iconSet" priority="64" id="{86782E54-BB68-46AD-906A-17FD6F5DE9A7}">
            <x14:iconSet iconSet="3Symbols" showValue="0" custom="1">
              <x14:cfvo type="percent">
                <xm:f>0</xm:f>
              </x14:cfvo>
              <x14:cfvo type="num">
                <xm:f>0</xm:f>
              </x14:cfvo>
              <x14:cfvo type="num">
                <xm:f>0.5</xm:f>
              </x14:cfvo>
              <x14:cfIcon iconSet="NoIcons" iconId="0"/>
              <x14:cfIcon iconSet="NoIcons" iconId="0"/>
              <x14:cfIcon iconSet="3Symbols" iconId="0"/>
            </x14:iconSet>
          </x14:cfRule>
          <xm:sqref>E752:J752</xm:sqref>
        </x14:conditionalFormatting>
        <x14:conditionalFormatting xmlns:xm="http://schemas.microsoft.com/office/excel/2006/main">
          <x14:cfRule type="iconSet" priority="61" id="{6029F5AA-B0BC-4479-9E5F-FE8EB2FDA86F}">
            <x14:iconSet iconSet="3Symbols" showValue="0" custom="1">
              <x14:cfvo type="percent">
                <xm:f>0</xm:f>
              </x14:cfvo>
              <x14:cfvo type="num">
                <xm:f>0</xm:f>
              </x14:cfvo>
              <x14:cfvo type="num">
                <xm:f>0.5</xm:f>
              </x14:cfvo>
              <x14:cfIcon iconSet="NoIcons" iconId="0"/>
              <x14:cfIcon iconSet="NoIcons" iconId="0"/>
              <x14:cfIcon iconSet="3Symbols" iconId="0"/>
            </x14:iconSet>
          </x14:cfRule>
          <xm:sqref>M752</xm:sqref>
        </x14:conditionalFormatting>
        <x14:conditionalFormatting xmlns:xm="http://schemas.microsoft.com/office/excel/2006/main">
          <x14:cfRule type="iconSet" priority="60" id="{9472FBFF-39EA-47A2-A905-6595662AB882}">
            <x14:iconSet iconSet="3Symbols" showValue="0" custom="1">
              <x14:cfvo type="percent">
                <xm:f>0</xm:f>
              </x14:cfvo>
              <x14:cfvo type="num">
                <xm:f>0</xm:f>
              </x14:cfvo>
              <x14:cfvo type="num">
                <xm:f>0.5</xm:f>
              </x14:cfvo>
              <x14:cfIcon iconSet="NoIcons" iconId="0"/>
              <x14:cfIcon iconSet="NoIcons" iconId="0"/>
              <x14:cfIcon iconSet="3Symbols" iconId="0"/>
            </x14:iconSet>
          </x14:cfRule>
          <xm:sqref>H501</xm:sqref>
        </x14:conditionalFormatting>
        <x14:conditionalFormatting xmlns:xm="http://schemas.microsoft.com/office/excel/2006/main">
          <x14:cfRule type="iconSet" priority="59" id="{656867DC-462A-4F24-A695-0F9C8FAE2FE7}">
            <x14:iconSet iconSet="3Symbols" showValue="0" custom="1">
              <x14:cfvo type="percent">
                <xm:f>0</xm:f>
              </x14:cfvo>
              <x14:cfvo type="num">
                <xm:f>0</xm:f>
              </x14:cfvo>
              <x14:cfvo type="num">
                <xm:f>0.5</xm:f>
              </x14:cfvo>
              <x14:cfIcon iconSet="NoIcons" iconId="0"/>
              <x14:cfIcon iconSet="NoIcons" iconId="0"/>
              <x14:cfIcon iconSet="3Symbols" iconId="0"/>
            </x14:iconSet>
          </x14:cfRule>
          <xm:sqref>I501</xm:sqref>
        </x14:conditionalFormatting>
        <x14:conditionalFormatting xmlns:xm="http://schemas.microsoft.com/office/excel/2006/main">
          <x14:cfRule type="iconSet" priority="58" id="{6D7448F2-ECE3-4C8C-8771-E1A86F848795}">
            <x14:iconSet iconSet="3Symbols" showValue="0" custom="1">
              <x14:cfvo type="percent">
                <xm:f>0</xm:f>
              </x14:cfvo>
              <x14:cfvo type="num">
                <xm:f>0</xm:f>
              </x14:cfvo>
              <x14:cfvo type="num">
                <xm:f>0.5</xm:f>
              </x14:cfvo>
              <x14:cfIcon iconSet="NoIcons" iconId="0"/>
              <x14:cfIcon iconSet="NoIcons" iconId="0"/>
              <x14:cfIcon iconSet="3Symbols" iconId="0"/>
            </x14:iconSet>
          </x14:cfRule>
          <xm:sqref>O251</xm:sqref>
        </x14:conditionalFormatting>
        <x14:conditionalFormatting xmlns:xm="http://schemas.microsoft.com/office/excel/2006/main">
          <x14:cfRule type="iconSet" priority="57" id="{354126C0-49F9-4142-B742-CB83B4939364}">
            <x14:iconSet iconSet="3Symbols" showValue="0" custom="1">
              <x14:cfvo type="percent">
                <xm:f>0</xm:f>
              </x14:cfvo>
              <x14:cfvo type="num">
                <xm:f>0</xm:f>
              </x14:cfvo>
              <x14:cfvo type="num">
                <xm:f>0.5</xm:f>
              </x14:cfvo>
              <x14:cfIcon iconSet="NoIcons" iconId="0"/>
              <x14:cfIcon iconSet="NoIcons" iconId="0"/>
              <x14:cfIcon iconSet="3Symbols" iconId="0"/>
            </x14:iconSet>
          </x14:cfRule>
          <xm:sqref>O240</xm:sqref>
        </x14:conditionalFormatting>
        <x14:conditionalFormatting xmlns:xm="http://schemas.microsoft.com/office/excel/2006/main">
          <x14:cfRule type="iconSet" priority="55" id="{8ED58D33-F8A3-441D-BC97-3FE07BCAE943}">
            <x14:iconSet iconSet="3Symbols" showValue="0" custom="1">
              <x14:cfvo type="percent">
                <xm:f>0</xm:f>
              </x14:cfvo>
              <x14:cfvo type="num">
                <xm:f>0</xm:f>
              </x14:cfvo>
              <x14:cfvo type="num">
                <xm:f>0.5</xm:f>
              </x14:cfvo>
              <x14:cfIcon iconSet="NoIcons" iconId="0"/>
              <x14:cfIcon iconSet="NoIcons" iconId="0"/>
              <x14:cfIcon iconSet="3Symbols" iconId="0"/>
            </x14:iconSet>
          </x14:cfRule>
          <xm:sqref>G516</xm:sqref>
        </x14:conditionalFormatting>
        <x14:conditionalFormatting xmlns:xm="http://schemas.microsoft.com/office/excel/2006/main">
          <x14:cfRule type="iconSet" priority="51" id="{60D5679F-236D-4CA2-BE68-19D21993E6CD}">
            <x14:iconSet iconSet="3Symbols" showValue="0" custom="1">
              <x14:cfvo type="percent">
                <xm:f>0</xm:f>
              </x14:cfvo>
              <x14:cfvo type="num">
                <xm:f>0</xm:f>
              </x14:cfvo>
              <x14:cfvo type="num">
                <xm:f>0.5</xm:f>
              </x14:cfvo>
              <x14:cfIcon iconSet="NoIcons" iconId="0"/>
              <x14:cfIcon iconSet="NoIcons" iconId="0"/>
              <x14:cfIcon iconSet="3Symbols" iconId="0"/>
            </x14:iconSet>
          </x14:cfRule>
          <xm:sqref>H570</xm:sqref>
        </x14:conditionalFormatting>
        <x14:conditionalFormatting xmlns:xm="http://schemas.microsoft.com/office/excel/2006/main">
          <x14:cfRule type="iconSet" priority="50" id="{74DC6ACF-6649-4E46-89DF-5F36A0664D4D}">
            <x14:iconSet iconSet="3Symbols" showValue="0" custom="1">
              <x14:cfvo type="percent">
                <xm:f>0</xm:f>
              </x14:cfvo>
              <x14:cfvo type="num">
                <xm:f>0</xm:f>
              </x14:cfvo>
              <x14:cfvo type="num">
                <xm:f>0.5</xm:f>
              </x14:cfvo>
              <x14:cfIcon iconSet="NoIcons" iconId="0"/>
              <x14:cfIcon iconSet="NoIcons" iconId="0"/>
              <x14:cfIcon iconSet="3Symbols" iconId="0"/>
            </x14:iconSet>
          </x14:cfRule>
          <xm:sqref>H571</xm:sqref>
        </x14:conditionalFormatting>
        <x14:conditionalFormatting xmlns:xm="http://schemas.microsoft.com/office/excel/2006/main">
          <x14:cfRule type="iconSet" priority="49" id="{4DD4E5AA-22D7-495F-BC59-7AF25B915578}">
            <x14:iconSet iconSet="3Symbols" showValue="0" custom="1">
              <x14:cfvo type="percent">
                <xm:f>0</xm:f>
              </x14:cfvo>
              <x14:cfvo type="num">
                <xm:f>0</xm:f>
              </x14:cfvo>
              <x14:cfvo type="num">
                <xm:f>0.5</xm:f>
              </x14:cfvo>
              <x14:cfIcon iconSet="NoIcons" iconId="0"/>
              <x14:cfIcon iconSet="NoIcons" iconId="0"/>
              <x14:cfIcon iconSet="3Symbols" iconId="0"/>
            </x14:iconSet>
          </x14:cfRule>
          <xm:sqref>H572</xm:sqref>
        </x14:conditionalFormatting>
        <x14:conditionalFormatting xmlns:xm="http://schemas.microsoft.com/office/excel/2006/main">
          <x14:cfRule type="iconSet" priority="1355" id="{DBEF1AFD-E6ED-41CB-8E63-C6EDECE83258}">
            <x14:iconSet iconSet="3Symbols" showValue="0" custom="1">
              <x14:cfvo type="percent">
                <xm:f>0</xm:f>
              </x14:cfvo>
              <x14:cfvo type="num">
                <xm:f>0</xm:f>
              </x14:cfvo>
              <x14:cfvo type="num">
                <xm:f>0.5</xm:f>
              </x14:cfvo>
              <x14:cfIcon iconSet="NoIcons" iconId="0"/>
              <x14:cfIcon iconSet="NoIcons" iconId="0"/>
              <x14:cfIcon iconSet="3Symbols" iconId="0"/>
            </x14:iconSet>
          </x14:cfRule>
          <xm:sqref>G574:G578</xm:sqref>
        </x14:conditionalFormatting>
        <x14:conditionalFormatting xmlns:xm="http://schemas.microsoft.com/office/excel/2006/main">
          <x14:cfRule type="iconSet" priority="1357" id="{47203D2D-D054-4694-A0F4-F51F92461AE6}">
            <x14:iconSet iconSet="3Symbols" showValue="0" custom="1">
              <x14:cfvo type="percent">
                <xm:f>0</xm:f>
              </x14:cfvo>
              <x14:cfvo type="num">
                <xm:f>0</xm:f>
              </x14:cfvo>
              <x14:cfvo type="num">
                <xm:f>0.5</xm:f>
              </x14:cfvo>
              <x14:cfIcon iconSet="NoIcons" iconId="0"/>
              <x14:cfIcon iconSet="NoIcons" iconId="0"/>
              <x14:cfIcon iconSet="3Symbols" iconId="0"/>
            </x14:iconSet>
          </x14:cfRule>
          <xm:sqref>H573:H578</xm:sqref>
        </x14:conditionalFormatting>
        <x14:conditionalFormatting xmlns:xm="http://schemas.microsoft.com/office/excel/2006/main">
          <x14:cfRule type="iconSet" priority="1407" id="{3026F760-EFEB-4EB8-93F1-004B9A9A86D6}">
            <x14:iconSet iconSet="3Symbols" showValue="0" custom="1">
              <x14:cfvo type="percent">
                <xm:f>0</xm:f>
              </x14:cfvo>
              <x14:cfvo type="num">
                <xm:f>0</xm:f>
              </x14:cfvo>
              <x14:cfvo type="num">
                <xm:f>0.5</xm:f>
              </x14:cfvo>
              <x14:cfIcon iconSet="NoIcons" iconId="0"/>
              <x14:cfIcon iconSet="NoIcons" iconId="0"/>
              <x14:cfIcon iconSet="3Symbols" iconId="0"/>
            </x14:iconSet>
          </x14:cfRule>
          <xm:sqref>G487:G493</xm:sqref>
        </x14:conditionalFormatting>
        <x14:conditionalFormatting xmlns:xm="http://schemas.microsoft.com/office/excel/2006/main">
          <x14:cfRule type="iconSet" priority="1409" id="{630D6D6B-4B88-4E94-8E06-7080BF66E89C}">
            <x14:iconSet iconSet="3Symbols" showValue="0" custom="1">
              <x14:cfvo type="percent">
                <xm:f>0</xm:f>
              </x14:cfvo>
              <x14:cfvo type="num">
                <xm:f>0</xm:f>
              </x14:cfvo>
              <x14:cfvo type="num">
                <xm:f>0.5</xm:f>
              </x14:cfvo>
              <x14:cfIcon iconSet="NoIcons" iconId="0"/>
              <x14:cfIcon iconSet="NoIcons" iconId="0"/>
              <x14:cfIcon iconSet="3Symbols" iconId="0"/>
            </x14:iconSet>
          </x14:cfRule>
          <xm:sqref>H486:H491 H493:I496</xm:sqref>
        </x14:conditionalFormatting>
        <x14:conditionalFormatting xmlns:xm="http://schemas.microsoft.com/office/excel/2006/main">
          <x14:cfRule type="iconSet" priority="48" id="{C78FD41C-711D-4B16-B1ED-8E2A1FD13CB4}">
            <x14:iconSet iconSet="3Symbols" showValue="0" custom="1">
              <x14:cfvo type="percent">
                <xm:f>0</xm:f>
              </x14:cfvo>
              <x14:cfvo type="num">
                <xm:f>0</xm:f>
              </x14:cfvo>
              <x14:cfvo type="num">
                <xm:f>0.5</xm:f>
              </x14:cfvo>
              <x14:cfIcon iconSet="NoIcons" iconId="0"/>
              <x14:cfIcon iconSet="NoIcons" iconId="0"/>
              <x14:cfIcon iconSet="3Symbols" iconId="0"/>
            </x14:iconSet>
          </x14:cfRule>
          <xm:sqref>G494:G496</xm:sqref>
        </x14:conditionalFormatting>
        <x14:conditionalFormatting xmlns:xm="http://schemas.microsoft.com/office/excel/2006/main">
          <x14:cfRule type="iconSet" priority="47" id="{7D18FF3C-1F0C-41BE-AB34-19B490EDD83B}">
            <x14:iconSet iconSet="3Symbols" showValue="0" custom="1">
              <x14:cfvo type="percent">
                <xm:f>0</xm:f>
              </x14:cfvo>
              <x14:cfvo type="num">
                <xm:f>0</xm:f>
              </x14:cfvo>
              <x14:cfvo type="num">
                <xm:f>0.5</xm:f>
              </x14:cfvo>
              <x14:cfIcon iconSet="NoIcons" iconId="0"/>
              <x14:cfIcon iconSet="NoIcons" iconId="0"/>
              <x14:cfIcon iconSet="3Symbols" iconId="0"/>
            </x14:iconSet>
          </x14:cfRule>
          <xm:sqref>H485:L485</xm:sqref>
        </x14:conditionalFormatting>
        <x14:conditionalFormatting xmlns:xm="http://schemas.microsoft.com/office/excel/2006/main">
          <x14:cfRule type="iconSet" priority="1460" id="{0700A059-8CB0-4E81-A3E1-74BDC303EF9B}">
            <x14:iconSet iconSet="3Symbols" showValue="0" custom="1">
              <x14:cfvo type="percent">
                <xm:f>0</xm:f>
              </x14:cfvo>
              <x14:cfvo type="num">
                <xm:f>0</xm:f>
              </x14:cfvo>
              <x14:cfvo type="num">
                <xm:f>0.5</xm:f>
              </x14:cfvo>
              <x14:cfIcon iconSet="NoIcons" iconId="0"/>
              <x14:cfIcon iconSet="NoIcons" iconId="0"/>
              <x14:cfIcon iconSet="3Symbols" iconId="0"/>
            </x14:iconSet>
          </x14:cfRule>
          <xm:sqref>H516</xm:sqref>
        </x14:conditionalFormatting>
        <x14:conditionalFormatting xmlns:xm="http://schemas.microsoft.com/office/excel/2006/main">
          <x14:cfRule type="iconSet" priority="46" id="{C7067A7A-AD58-4D0E-B068-432F77168F5D}">
            <x14:iconSet iconSet="3Symbols" showValue="0" custom="1">
              <x14:cfvo type="percent">
                <xm:f>0</xm:f>
              </x14:cfvo>
              <x14:cfvo type="num">
                <xm:f>0</xm:f>
              </x14:cfvo>
              <x14:cfvo type="num">
                <xm:f>0.5</xm:f>
              </x14:cfvo>
              <x14:cfIcon iconSet="NoIcons" iconId="0"/>
              <x14:cfIcon iconSet="NoIcons" iconId="0"/>
              <x14:cfIcon iconSet="3Symbols" iconId="0"/>
            </x14:iconSet>
          </x14:cfRule>
          <xm:sqref>O728</xm:sqref>
        </x14:conditionalFormatting>
        <x14:conditionalFormatting xmlns:xm="http://schemas.microsoft.com/office/excel/2006/main">
          <x14:cfRule type="iconSet" priority="45" id="{081BD2B7-5F86-4A1C-846D-B0B66DD425C9}">
            <x14:iconSet iconSet="3Symbols" showValue="0" custom="1">
              <x14:cfvo type="percent">
                <xm:f>0</xm:f>
              </x14:cfvo>
              <x14:cfvo type="num">
                <xm:f>0</xm:f>
              </x14:cfvo>
              <x14:cfvo type="num">
                <xm:f>0.5</xm:f>
              </x14:cfvo>
              <x14:cfIcon iconSet="NoIcons" iconId="0"/>
              <x14:cfIcon iconSet="NoIcons" iconId="0"/>
              <x14:cfIcon iconSet="3Symbols" iconId="0"/>
            </x14:iconSet>
          </x14:cfRule>
          <xm:sqref>Q728</xm:sqref>
        </x14:conditionalFormatting>
        <x14:conditionalFormatting xmlns:xm="http://schemas.microsoft.com/office/excel/2006/main">
          <x14:cfRule type="iconSet" priority="44" id="{EC486336-AB2A-40C9-827D-445533B9B112}">
            <x14:iconSet iconSet="3Symbols" showValue="0" custom="1">
              <x14:cfvo type="percent">
                <xm:f>0</xm:f>
              </x14:cfvo>
              <x14:cfvo type="num">
                <xm:f>0</xm:f>
              </x14:cfvo>
              <x14:cfvo type="num">
                <xm:f>0.5</xm:f>
              </x14:cfvo>
              <x14:cfIcon iconSet="NoIcons" iconId="0"/>
              <x14:cfIcon iconSet="NoIcons" iconId="0"/>
              <x14:cfIcon iconSet="3Symbols" iconId="0"/>
            </x14:iconSet>
          </x14:cfRule>
          <xm:sqref>M739</xm:sqref>
        </x14:conditionalFormatting>
        <x14:conditionalFormatting xmlns:xm="http://schemas.microsoft.com/office/excel/2006/main">
          <x14:cfRule type="iconSet" priority="43" id="{4E4DE5EF-5465-492C-95F2-E59F8C9254BE}">
            <x14:iconSet iconSet="3Symbols" showValue="0" custom="1">
              <x14:cfvo type="percent">
                <xm:f>0</xm:f>
              </x14:cfvo>
              <x14:cfvo type="num">
                <xm:f>0</xm:f>
              </x14:cfvo>
              <x14:cfvo type="num">
                <xm:f>0.5</xm:f>
              </x14:cfvo>
              <x14:cfIcon iconSet="NoIcons" iconId="0"/>
              <x14:cfIcon iconSet="NoIcons" iconId="0"/>
              <x14:cfIcon iconSet="3Symbols" iconId="0"/>
            </x14:iconSet>
          </x14:cfRule>
          <xm:sqref>N739</xm:sqref>
        </x14:conditionalFormatting>
        <x14:conditionalFormatting xmlns:xm="http://schemas.microsoft.com/office/excel/2006/main">
          <x14:cfRule type="iconSet" priority="42" id="{2D42745E-544A-44F8-9FD1-5AF56F0B0523}">
            <x14:iconSet iconSet="3Symbols" showValue="0" custom="1">
              <x14:cfvo type="percent">
                <xm:f>0</xm:f>
              </x14:cfvo>
              <x14:cfvo type="num">
                <xm:f>0</xm:f>
              </x14:cfvo>
              <x14:cfvo type="num">
                <xm:f>0.5</xm:f>
              </x14:cfvo>
              <x14:cfIcon iconSet="NoIcons" iconId="0"/>
              <x14:cfIcon iconSet="NoIcons" iconId="0"/>
              <x14:cfIcon iconSet="3Symbols" iconId="0"/>
            </x14:iconSet>
          </x14:cfRule>
          <xm:sqref>N752:O752</xm:sqref>
        </x14:conditionalFormatting>
        <x14:conditionalFormatting xmlns:xm="http://schemas.microsoft.com/office/excel/2006/main">
          <x14:cfRule type="iconSet" priority="41" id="{5B844B8C-C261-43F0-BE17-D131D2EFA986}">
            <x14:iconSet iconSet="3Symbols" showValue="0" custom="1">
              <x14:cfvo type="percent">
                <xm:f>0</xm:f>
              </x14:cfvo>
              <x14:cfvo type="num">
                <xm:f>0</xm:f>
              </x14:cfvo>
              <x14:cfvo type="num">
                <xm:f>0.5</xm:f>
              </x14:cfvo>
              <x14:cfIcon iconSet="NoIcons" iconId="0"/>
              <x14:cfIcon iconSet="NoIcons" iconId="0"/>
              <x14:cfIcon iconSet="3Symbols" iconId="0"/>
            </x14:iconSet>
          </x14:cfRule>
          <xm:sqref>M493:N496</xm:sqref>
        </x14:conditionalFormatting>
        <x14:conditionalFormatting xmlns:xm="http://schemas.microsoft.com/office/excel/2006/main">
          <x14:cfRule type="iconSet" priority="40" id="{4A730BBB-93F9-4D68-B74C-F010D01276E9}">
            <x14:iconSet iconSet="3Symbols" showValue="0" custom="1">
              <x14:cfvo type="percent">
                <xm:f>0</xm:f>
              </x14:cfvo>
              <x14:cfvo type="num">
                <xm:f>0</xm:f>
              </x14:cfvo>
              <x14:cfvo type="num">
                <xm:f>0.5</xm:f>
              </x14:cfvo>
              <x14:cfIcon iconSet="NoIcons" iconId="0"/>
              <x14:cfIcon iconSet="NoIcons" iconId="0"/>
              <x14:cfIcon iconSet="3Symbols" iconId="0"/>
            </x14:iconSet>
          </x14:cfRule>
          <xm:sqref>K255</xm:sqref>
        </x14:conditionalFormatting>
        <x14:conditionalFormatting xmlns:xm="http://schemas.microsoft.com/office/excel/2006/main">
          <x14:cfRule type="iconSet" priority="39" id="{44C60C6F-C134-41FC-A274-CA61A474853E}">
            <x14:iconSet iconSet="3Symbols" showValue="0" custom="1">
              <x14:cfvo type="percent">
                <xm:f>0</xm:f>
              </x14:cfvo>
              <x14:cfvo type="num">
                <xm:f>0</xm:f>
              </x14:cfvo>
              <x14:cfvo type="num">
                <xm:f>0.5</xm:f>
              </x14:cfvo>
              <x14:cfIcon iconSet="NoIcons" iconId="0"/>
              <x14:cfIcon iconSet="NoIcons" iconId="0"/>
              <x14:cfIcon iconSet="3Symbols" iconId="0"/>
            </x14:iconSet>
          </x14:cfRule>
          <xm:sqref>K752</xm:sqref>
        </x14:conditionalFormatting>
        <x14:conditionalFormatting xmlns:xm="http://schemas.microsoft.com/office/excel/2006/main">
          <x14:cfRule type="iconSet" priority="38" id="{A900B972-714F-4CBE-B053-0CFA0D3538B9}">
            <x14:iconSet iconSet="3Symbols" showValue="0" custom="1">
              <x14:cfvo type="percent">
                <xm:f>0</xm:f>
              </x14:cfvo>
              <x14:cfvo type="num">
                <xm:f>0</xm:f>
              </x14:cfvo>
              <x14:cfvo type="num">
                <xm:f>0.5</xm:f>
              </x14:cfvo>
              <x14:cfIcon iconSet="NoIcons" iconId="0"/>
              <x14:cfIcon iconSet="NoIcons" iconId="0"/>
              <x14:cfIcon iconSet="3Symbols" iconId="0"/>
            </x14:iconSet>
          </x14:cfRule>
          <xm:sqref>L752</xm:sqref>
        </x14:conditionalFormatting>
        <x14:conditionalFormatting xmlns:xm="http://schemas.microsoft.com/office/excel/2006/main">
          <x14:cfRule type="iconSet" priority="32" id="{FDDB95D4-2B57-477B-8EDB-2AA6E06668E4}">
            <x14:iconSet iconSet="3Symbols" showValue="0" custom="1">
              <x14:cfvo type="percent">
                <xm:f>0</xm:f>
              </x14:cfvo>
              <x14:cfvo type="num">
                <xm:f>0</xm:f>
              </x14:cfvo>
              <x14:cfvo type="num">
                <xm:f>0.5</xm:f>
              </x14:cfvo>
              <x14:cfIcon iconSet="NoIcons" iconId="0"/>
              <x14:cfIcon iconSet="NoIcons" iconId="0"/>
              <x14:cfIcon iconSet="3Symbols" iconId="0"/>
            </x14:iconSet>
          </x14:cfRule>
          <xm:sqref>W278</xm:sqref>
        </x14:conditionalFormatting>
        <x14:conditionalFormatting xmlns:xm="http://schemas.microsoft.com/office/excel/2006/main">
          <x14:cfRule type="iconSet" priority="1529" id="{01E5B1B0-4C8A-4AEC-8C84-CC1ECBE73F8E}">
            <x14:iconSet iconSet="3Symbols" showValue="0" custom="1">
              <x14:cfvo type="percent">
                <xm:f>0</xm:f>
              </x14:cfvo>
              <x14:cfvo type="num">
                <xm:f>0</xm:f>
              </x14:cfvo>
              <x14:cfvo type="num">
                <xm:f>0.5</xm:f>
              </x14:cfvo>
              <x14:cfIcon iconSet="NoIcons" iconId="0"/>
              <x14:cfIcon iconSet="NoIcons" iconId="0"/>
              <x14:cfIcon iconSet="3Symbols" iconId="0"/>
            </x14:iconSet>
          </x14:cfRule>
          <xm:sqref>AD184:AD190</xm:sqref>
        </x14:conditionalFormatting>
        <x14:conditionalFormatting xmlns:xm="http://schemas.microsoft.com/office/excel/2006/main">
          <x14:cfRule type="iconSet" priority="27" id="{244A3118-D41A-4787-97A4-209CEE7BC70F}">
            <x14:iconSet iconSet="3Symbols" showValue="0" custom="1">
              <x14:cfvo type="percent">
                <xm:f>0</xm:f>
              </x14:cfvo>
              <x14:cfvo type="num">
                <xm:f>0</xm:f>
              </x14:cfvo>
              <x14:cfvo type="num">
                <xm:f>0.5</xm:f>
              </x14:cfvo>
              <x14:cfIcon iconSet="NoIcons" iconId="0"/>
              <x14:cfIcon iconSet="NoIcons" iconId="0"/>
              <x14:cfIcon iconSet="3Symbols" iconId="0"/>
            </x14:iconSet>
          </x14:cfRule>
          <xm:sqref>AD67:AE68</xm:sqref>
        </x14:conditionalFormatting>
        <x14:conditionalFormatting xmlns:xm="http://schemas.microsoft.com/office/excel/2006/main">
          <x14:cfRule type="iconSet" priority="26" id="{C75877C3-B141-4E2A-B3FD-04EADAF8EFA6}">
            <x14:iconSet iconSet="3Symbols" showValue="0" custom="1">
              <x14:cfvo type="percent">
                <xm:f>0</xm:f>
              </x14:cfvo>
              <x14:cfvo type="num">
                <xm:f>0</xm:f>
              </x14:cfvo>
              <x14:cfvo type="num">
                <xm:f>0.5</xm:f>
              </x14:cfvo>
              <x14:cfIcon iconSet="NoIcons" iconId="0"/>
              <x14:cfIcon iconSet="NoIcons" iconId="0"/>
              <x14:cfIcon iconSet="3Symbols" iconId="0"/>
            </x14:iconSet>
          </x14:cfRule>
          <xm:sqref>AC67:AC68</xm:sqref>
        </x14:conditionalFormatting>
        <x14:conditionalFormatting xmlns:xm="http://schemas.microsoft.com/office/excel/2006/main">
          <x14:cfRule type="iconSet" priority="25" id="{A0D435B9-7B00-4751-9EAD-42263890D519}">
            <x14:iconSet iconSet="3Symbols" showValue="0" custom="1">
              <x14:cfvo type="percent">
                <xm:f>0</xm:f>
              </x14:cfvo>
              <x14:cfvo type="num">
                <xm:f>0</xm:f>
              </x14:cfvo>
              <x14:cfvo type="num">
                <xm:f>0.5</xm:f>
              </x14:cfvo>
              <x14:cfIcon iconSet="NoIcons" iconId="0"/>
              <x14:cfIcon iconSet="NoIcons" iconId="0"/>
              <x14:cfIcon iconSet="3Symbols" iconId="0"/>
            </x14:iconSet>
          </x14:cfRule>
          <xm:sqref>J29</xm:sqref>
        </x14:conditionalFormatting>
        <x14:conditionalFormatting xmlns:xm="http://schemas.microsoft.com/office/excel/2006/main">
          <x14:cfRule type="iconSet" priority="22" id="{3A3C6C79-80B2-492D-BC05-7EC36695257B}">
            <x14:iconSet iconSet="3Symbols" showValue="0" custom="1">
              <x14:cfvo type="percent">
                <xm:f>0</xm:f>
              </x14:cfvo>
              <x14:cfvo type="num">
                <xm:f>0</xm:f>
              </x14:cfvo>
              <x14:cfvo type="num">
                <xm:f>0.5</xm:f>
              </x14:cfvo>
              <x14:cfIcon iconSet="NoIcons" iconId="0"/>
              <x14:cfIcon iconSet="NoIcons" iconId="0"/>
              <x14:cfIcon iconSet="3Symbols" iconId="0"/>
            </x14:iconSet>
          </x14:cfRule>
          <xm:sqref>O29</xm:sqref>
        </x14:conditionalFormatting>
        <x14:conditionalFormatting xmlns:xm="http://schemas.microsoft.com/office/excel/2006/main">
          <x14:cfRule type="iconSet" priority="17" id="{3AEC5D16-4C21-4A51-864F-D82D3AEAFD76}">
            <x14:iconSet iconSet="3Symbols" showValue="0" custom="1">
              <x14:cfvo type="percent">
                <xm:f>0</xm:f>
              </x14:cfvo>
              <x14:cfvo type="num">
                <xm:f>0</xm:f>
              </x14:cfvo>
              <x14:cfvo type="num">
                <xm:f>0.5</xm:f>
              </x14:cfvo>
              <x14:cfIcon iconSet="NoIcons" iconId="0"/>
              <x14:cfIcon iconSet="NoIcons" iconId="0"/>
              <x14:cfIcon iconSet="3Symbols" iconId="0"/>
            </x14:iconSet>
          </x14:cfRule>
          <xm:sqref>O30:O37</xm:sqref>
        </x14:conditionalFormatting>
        <x14:conditionalFormatting xmlns:xm="http://schemas.microsoft.com/office/excel/2006/main">
          <x14:cfRule type="iconSet" priority="16" id="{9F9B10F3-C287-4B32-92B5-D0DCBC8348DE}">
            <x14:iconSet iconSet="3Symbols" showValue="0" custom="1">
              <x14:cfvo type="percent">
                <xm:f>0</xm:f>
              </x14:cfvo>
              <x14:cfvo type="num">
                <xm:f>0</xm:f>
              </x14:cfvo>
              <x14:cfvo type="num">
                <xm:f>0.5</xm:f>
              </x14:cfvo>
              <x14:cfIcon iconSet="NoIcons" iconId="0"/>
              <x14:cfIcon iconSet="NoIcons" iconId="0"/>
              <x14:cfIcon iconSet="3Symbols" iconId="0"/>
            </x14:iconSet>
          </x14:cfRule>
          <xm:sqref>J30:J37</xm:sqref>
        </x14:conditionalFormatting>
        <x14:conditionalFormatting xmlns:xm="http://schemas.microsoft.com/office/excel/2006/main">
          <x14:cfRule type="iconSet" priority="15" id="{0D731802-13C3-4C10-91D8-F958A273FB12}">
            <x14:iconSet iconSet="3Symbols" showValue="0" custom="1">
              <x14:cfvo type="percent">
                <xm:f>0</xm:f>
              </x14:cfvo>
              <x14:cfvo type="num">
                <xm:f>0</xm:f>
              </x14:cfvo>
              <x14:cfvo type="num">
                <xm:f>0.5</xm:f>
              </x14:cfvo>
              <x14:cfIcon iconSet="NoIcons" iconId="0"/>
              <x14:cfIcon iconSet="NoIcons" iconId="0"/>
              <x14:cfIcon iconSet="3Symbols" iconId="0"/>
            </x14:iconSet>
          </x14:cfRule>
          <xm:sqref>O91:O95</xm:sqref>
        </x14:conditionalFormatting>
        <x14:conditionalFormatting xmlns:xm="http://schemas.microsoft.com/office/excel/2006/main">
          <x14:cfRule type="iconSet" priority="14" id="{913EF86B-ED9F-48DC-979B-508150FAF996}">
            <x14:iconSet iconSet="3Symbols" showValue="0" custom="1">
              <x14:cfvo type="percent">
                <xm:f>0</xm:f>
              </x14:cfvo>
              <x14:cfvo type="num">
                <xm:f>0</xm:f>
              </x14:cfvo>
              <x14:cfvo type="num">
                <xm:f>0.5</xm:f>
              </x14:cfvo>
              <x14:cfIcon iconSet="NoIcons" iconId="0"/>
              <x14:cfIcon iconSet="NoIcons" iconId="0"/>
              <x14:cfIcon iconSet="3Symbols" iconId="0"/>
            </x14:iconSet>
          </x14:cfRule>
          <xm:sqref>O91:O95</xm:sqref>
        </x14:conditionalFormatting>
        <x14:conditionalFormatting xmlns:xm="http://schemas.microsoft.com/office/excel/2006/main">
          <x14:cfRule type="iconSet" priority="13" id="{9D067853-DBE2-4FF7-B958-F5061467A136}">
            <x14:iconSet iconSet="3Symbols" showValue="0" custom="1">
              <x14:cfvo type="percent">
                <xm:f>0</xm:f>
              </x14:cfvo>
              <x14:cfvo type="num">
                <xm:f>0</xm:f>
              </x14:cfvo>
              <x14:cfvo type="num">
                <xm:f>0.5</xm:f>
              </x14:cfvo>
              <x14:cfIcon iconSet="NoIcons" iconId="0"/>
              <x14:cfIcon iconSet="NoIcons" iconId="0"/>
              <x14:cfIcon iconSet="3Symbols" iconId="0"/>
            </x14:iconSet>
          </x14:cfRule>
          <xm:sqref>O91:O95</xm:sqref>
        </x14:conditionalFormatting>
        <x14:conditionalFormatting xmlns:xm="http://schemas.microsoft.com/office/excel/2006/main">
          <x14:cfRule type="iconSet" priority="12" id="{3D241CA2-B657-4865-9E79-588274D89951}">
            <x14:iconSet iconSet="3Symbols" showValue="0" custom="1">
              <x14:cfvo type="percent">
                <xm:f>0</xm:f>
              </x14:cfvo>
              <x14:cfvo type="num">
                <xm:f>0</xm:f>
              </x14:cfvo>
              <x14:cfvo type="num">
                <xm:f>0.5</xm:f>
              </x14:cfvo>
              <x14:cfIcon iconSet="NoIcons" iconId="0"/>
              <x14:cfIcon iconSet="NoIcons" iconId="0"/>
              <x14:cfIcon iconSet="3Symbols" iconId="0"/>
            </x14:iconSet>
          </x14:cfRule>
          <xm:sqref>O91:O95</xm:sqref>
        </x14:conditionalFormatting>
        <x14:conditionalFormatting xmlns:xm="http://schemas.microsoft.com/office/excel/2006/main">
          <x14:cfRule type="iconSet" priority="11" id="{0AE01B2A-97DC-4AAC-94C3-1C0F925DF7B7}">
            <x14:iconSet iconSet="3Symbols" showValue="0" custom="1">
              <x14:cfvo type="percent">
                <xm:f>0</xm:f>
              </x14:cfvo>
              <x14:cfvo type="num">
                <xm:f>0</xm:f>
              </x14:cfvo>
              <x14:cfvo type="num">
                <xm:f>0.5</xm:f>
              </x14:cfvo>
              <x14:cfIcon iconSet="NoIcons" iconId="0"/>
              <x14:cfIcon iconSet="NoIcons" iconId="0"/>
              <x14:cfIcon iconSet="3Symbols" iconId="0"/>
            </x14:iconSet>
          </x14:cfRule>
          <xm:sqref>O104:O108</xm:sqref>
        </x14:conditionalFormatting>
        <x14:conditionalFormatting xmlns:xm="http://schemas.microsoft.com/office/excel/2006/main">
          <x14:cfRule type="iconSet" priority="10" id="{098428F5-C9B1-4F9B-94FB-E7D4FA8CC74C}">
            <x14:iconSet iconSet="3Symbols" showValue="0" custom="1">
              <x14:cfvo type="percent">
                <xm:f>0</xm:f>
              </x14:cfvo>
              <x14:cfvo type="num">
                <xm:f>0</xm:f>
              </x14:cfvo>
              <x14:cfvo type="num">
                <xm:f>0.5</xm:f>
              </x14:cfvo>
              <x14:cfIcon iconSet="NoIcons" iconId="0"/>
              <x14:cfIcon iconSet="NoIcons" iconId="0"/>
              <x14:cfIcon iconSet="3Symbols" iconId="0"/>
            </x14:iconSet>
          </x14:cfRule>
          <xm:sqref>O104:O108</xm:sqref>
        </x14:conditionalFormatting>
        <x14:conditionalFormatting xmlns:xm="http://schemas.microsoft.com/office/excel/2006/main">
          <x14:cfRule type="iconSet" priority="9" id="{AB46456C-917F-45CE-8503-9FE1D30D95F5}">
            <x14:iconSet iconSet="3Symbols" showValue="0" custom="1">
              <x14:cfvo type="percent">
                <xm:f>0</xm:f>
              </x14:cfvo>
              <x14:cfvo type="num">
                <xm:f>0</xm:f>
              </x14:cfvo>
              <x14:cfvo type="num">
                <xm:f>0.5</xm:f>
              </x14:cfvo>
              <x14:cfIcon iconSet="NoIcons" iconId="0"/>
              <x14:cfIcon iconSet="NoIcons" iconId="0"/>
              <x14:cfIcon iconSet="3Symbols" iconId="0"/>
            </x14:iconSet>
          </x14:cfRule>
          <xm:sqref>O104:O108</xm:sqref>
        </x14:conditionalFormatting>
        <x14:conditionalFormatting xmlns:xm="http://schemas.microsoft.com/office/excel/2006/main">
          <x14:cfRule type="iconSet" priority="8" id="{530624DF-DD54-4F87-A26A-5E74F532FF12}">
            <x14:iconSet iconSet="3Symbols" showValue="0" custom="1">
              <x14:cfvo type="percent">
                <xm:f>0</xm:f>
              </x14:cfvo>
              <x14:cfvo type="num">
                <xm:f>0</xm:f>
              </x14:cfvo>
              <x14:cfvo type="num">
                <xm:f>0.5</xm:f>
              </x14:cfvo>
              <x14:cfIcon iconSet="NoIcons" iconId="0"/>
              <x14:cfIcon iconSet="NoIcons" iconId="0"/>
              <x14:cfIcon iconSet="3Symbols" iconId="0"/>
            </x14:iconSet>
          </x14:cfRule>
          <xm:sqref>O104:O108</xm:sqref>
        </x14:conditionalFormatting>
        <x14:conditionalFormatting xmlns:xm="http://schemas.microsoft.com/office/excel/2006/main">
          <x14:cfRule type="iconSet" priority="7" id="{F92910D5-EBB8-4D93-B53C-66482DEDD127}">
            <x14:iconSet iconSet="3Symbols" showValue="0" custom="1">
              <x14:cfvo type="percent">
                <xm:f>0</xm:f>
              </x14:cfvo>
              <x14:cfvo type="num">
                <xm:f>0</xm:f>
              </x14:cfvo>
              <x14:cfvo type="num">
                <xm:f>0.5</xm:f>
              </x14:cfvo>
              <x14:cfIcon iconSet="NoIcons" iconId="0"/>
              <x14:cfIcon iconSet="NoIcons" iconId="0"/>
              <x14:cfIcon iconSet="3Symbols" iconId="0"/>
            </x14:iconSet>
          </x14:cfRule>
          <xm:sqref>O109:O163</xm:sqref>
        </x14:conditionalFormatting>
        <x14:conditionalFormatting xmlns:xm="http://schemas.microsoft.com/office/excel/2006/main">
          <x14:cfRule type="iconSet" priority="6" id="{FDEB2298-C661-4EDB-8BD4-CE82975CB8FA}">
            <x14:iconSet iconSet="3Symbols" showValue="0" custom="1">
              <x14:cfvo type="percent">
                <xm:f>0</xm:f>
              </x14:cfvo>
              <x14:cfvo type="num">
                <xm:f>0</xm:f>
              </x14:cfvo>
              <x14:cfvo type="num">
                <xm:f>0.5</xm:f>
              </x14:cfvo>
              <x14:cfIcon iconSet="NoIcons" iconId="0"/>
              <x14:cfIcon iconSet="NoIcons" iconId="0"/>
              <x14:cfIcon iconSet="3Symbols" iconId="0"/>
            </x14:iconSet>
          </x14:cfRule>
          <xm:sqref>O109:O163</xm:sqref>
        </x14:conditionalFormatting>
        <x14:conditionalFormatting xmlns:xm="http://schemas.microsoft.com/office/excel/2006/main">
          <x14:cfRule type="iconSet" priority="5" id="{A507C2FF-022F-4331-A846-6C40B28EEDE5}">
            <x14:iconSet iconSet="3Symbols" showValue="0" custom="1">
              <x14:cfvo type="percent">
                <xm:f>0</xm:f>
              </x14:cfvo>
              <x14:cfvo type="num">
                <xm:f>0</xm:f>
              </x14:cfvo>
              <x14:cfvo type="num">
                <xm:f>0.5</xm:f>
              </x14:cfvo>
              <x14:cfIcon iconSet="NoIcons" iconId="0"/>
              <x14:cfIcon iconSet="NoIcons" iconId="0"/>
              <x14:cfIcon iconSet="3Symbols" iconId="0"/>
            </x14:iconSet>
          </x14:cfRule>
          <xm:sqref>O109:O163</xm:sqref>
        </x14:conditionalFormatting>
        <x14:conditionalFormatting xmlns:xm="http://schemas.microsoft.com/office/excel/2006/main">
          <x14:cfRule type="iconSet" priority="4" id="{3CE4102C-AF1A-4D22-93A8-A1C5C1D44A31}">
            <x14:iconSet iconSet="3Symbols" showValue="0" custom="1">
              <x14:cfvo type="percent">
                <xm:f>0</xm:f>
              </x14:cfvo>
              <x14:cfvo type="num">
                <xm:f>0</xm:f>
              </x14:cfvo>
              <x14:cfvo type="num">
                <xm:f>0.5</xm:f>
              </x14:cfvo>
              <x14:cfIcon iconSet="NoIcons" iconId="0"/>
              <x14:cfIcon iconSet="NoIcons" iconId="0"/>
              <x14:cfIcon iconSet="3Symbols" iconId="0"/>
            </x14:iconSet>
          </x14:cfRule>
          <xm:sqref>O109:O163</xm:sqref>
        </x14:conditionalFormatting>
        <x14:conditionalFormatting xmlns:xm="http://schemas.microsoft.com/office/excel/2006/main">
          <x14:cfRule type="iconSet" priority="3" id="{E6108383-8DB4-4475-9AEF-34CC74768C2C}">
            <x14:iconSet iconSet="3Symbols" showValue="0" custom="1">
              <x14:cfvo type="percent">
                <xm:f>0</xm:f>
              </x14:cfvo>
              <x14:cfvo type="num">
                <xm:f>0</xm:f>
              </x14:cfvo>
              <x14:cfvo type="num">
                <xm:f>0.5</xm:f>
              </x14:cfvo>
              <x14:cfIcon iconSet="NoIcons" iconId="0"/>
              <x14:cfIcon iconSet="NoIcons" iconId="0"/>
              <x14:cfIcon iconSet="3Symbols" iconId="0"/>
            </x14:iconSet>
          </x14:cfRule>
          <xm:sqref>O183:O190</xm:sqref>
        </x14:conditionalFormatting>
        <x14:conditionalFormatting xmlns:xm="http://schemas.microsoft.com/office/excel/2006/main">
          <x14:cfRule type="iconSet" priority="2" id="{2CE60941-8450-479E-87EE-625E2C169A2D}">
            <x14:iconSet iconSet="3Symbols" showValue="0" custom="1">
              <x14:cfvo type="percent">
                <xm:f>0</xm:f>
              </x14:cfvo>
              <x14:cfvo type="num">
                <xm:f>0</xm:f>
              </x14:cfvo>
              <x14:cfvo type="num">
                <xm:f>0.5</xm:f>
              </x14:cfvo>
              <x14:cfIcon iconSet="NoIcons" iconId="0"/>
              <x14:cfIcon iconSet="NoIcons" iconId="0"/>
              <x14:cfIcon iconSet="3Symbols" iconId="0"/>
            </x14:iconSet>
          </x14:cfRule>
          <xm:sqref>O199:O202</xm:sqref>
        </x14:conditionalFormatting>
        <x14:conditionalFormatting xmlns:xm="http://schemas.microsoft.com/office/excel/2006/main">
          <x14:cfRule type="iconSet" priority="1" id="{F299B006-0DB2-46BA-AD52-1B6C86074193}">
            <x14:iconSet iconSet="3Symbols" showValue="0" custom="1">
              <x14:cfvo type="percent">
                <xm:f>0</xm:f>
              </x14:cfvo>
              <x14:cfvo type="num">
                <xm:f>0</xm:f>
              </x14:cfvo>
              <x14:cfvo type="num">
                <xm:f>0.5</xm:f>
              </x14:cfvo>
              <x14:cfIcon iconSet="NoIcons" iconId="0"/>
              <x14:cfIcon iconSet="NoIcons" iconId="0"/>
              <x14:cfIcon iconSet="3Symbols" iconId="0"/>
            </x14:iconSet>
          </x14:cfRule>
          <xm:sqref>O210:O213</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VerticalGlazing">
    <tabColor theme="0"/>
  </sheetPr>
  <dimension ref="A1:Z384"/>
  <sheetViews>
    <sheetView zoomScaleNormal="100" workbookViewId="0">
      <pane ySplit="3" topLeftCell="A4" activePane="bottomLeft" state="frozen"/>
      <selection activeCell="D18" sqref="D18"/>
      <selection pane="bottomLeft" activeCell="B240" sqref="B240"/>
    </sheetView>
  </sheetViews>
  <sheetFormatPr defaultColWidth="8.7109375" defaultRowHeight="14.1" customHeight="1"/>
  <cols>
    <col min="1" max="1" width="8.7109375" style="14" customWidth="1"/>
    <col min="2" max="2" width="44.140625" style="15" customWidth="1"/>
    <col min="3" max="3" width="18.85546875" style="16" customWidth="1"/>
    <col min="4" max="4" width="8.7109375" style="16" customWidth="1"/>
    <col min="5" max="5" width="20.42578125" style="16" customWidth="1"/>
    <col min="6" max="6" width="8.7109375" style="17" customWidth="1"/>
    <col min="7" max="16384" width="8.7109375" style="15"/>
  </cols>
  <sheetData>
    <row r="1" spans="1:26" customFormat="1" ht="21"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c r="Y1" s="485"/>
      <c r="Z1" s="485"/>
    </row>
    <row r="2" spans="1:26" customFormat="1" ht="20.25" customHeight="1">
      <c r="A2" s="549" t="s">
        <v>2460</v>
      </c>
      <c r="B2" s="550"/>
      <c r="C2" s="551"/>
      <c r="D2" s="552"/>
      <c r="E2" s="552"/>
      <c r="F2" s="550"/>
      <c r="G2" s="550"/>
      <c r="H2" s="550"/>
      <c r="I2" s="550"/>
      <c r="J2" s="553"/>
      <c r="K2" s="550"/>
      <c r="L2" s="550"/>
      <c r="M2" s="550"/>
      <c r="N2" s="550"/>
      <c r="O2" s="550"/>
      <c r="P2" s="550"/>
      <c r="Q2" s="550"/>
      <c r="R2" s="550"/>
      <c r="S2" s="550"/>
      <c r="T2" s="550"/>
      <c r="U2" s="550"/>
      <c r="V2" s="550"/>
      <c r="W2" s="550"/>
      <c r="X2" s="550"/>
      <c r="Y2" s="550"/>
      <c r="Z2" s="550"/>
    </row>
    <row r="3" spans="1:26" s="425" customFormat="1" ht="14.1" customHeight="1">
      <c r="A3" s="524" t="s">
        <v>1400</v>
      </c>
      <c r="B3" s="425" t="s">
        <v>1401</v>
      </c>
      <c r="C3" s="439" t="s">
        <v>1402</v>
      </c>
      <c r="D3" s="439" t="s">
        <v>1403</v>
      </c>
      <c r="E3" s="441"/>
      <c r="F3" s="441"/>
    </row>
    <row r="4" spans="1:26" ht="14.1" customHeight="1">
      <c r="C4" s="149"/>
      <c r="D4" s="149"/>
    </row>
    <row r="5" spans="1:26" ht="14.1" customHeight="1">
      <c r="A5" s="14">
        <v>1</v>
      </c>
      <c r="C5" s="149"/>
      <c r="D5" s="149"/>
    </row>
    <row r="6" spans="1:26" ht="14.1" customHeight="1">
      <c r="A6" s="14">
        <f t="shared" ref="A6:A34" si="0">A5+1</f>
        <v>2</v>
      </c>
      <c r="B6" s="101" t="s">
        <v>2063</v>
      </c>
      <c r="C6" s="149"/>
      <c r="D6" s="149"/>
    </row>
    <row r="7" spans="1:26" ht="14.1" customHeight="1">
      <c r="A7" s="14">
        <f t="shared" si="0"/>
        <v>3</v>
      </c>
      <c r="B7" s="15" t="s">
        <v>1404</v>
      </c>
      <c r="C7" s="149" t="s">
        <v>1405</v>
      </c>
      <c r="D7" s="149">
        <v>1.2</v>
      </c>
    </row>
    <row r="8" spans="1:26" ht="14.1" customHeight="1">
      <c r="A8" s="14">
        <f t="shared" si="0"/>
        <v>4</v>
      </c>
      <c r="B8" s="77" t="s">
        <v>378</v>
      </c>
      <c r="C8" s="149" t="s">
        <v>1454</v>
      </c>
      <c r="D8" s="149">
        <v>0.4</v>
      </c>
    </row>
    <row r="9" spans="1:26" ht="14.1" customHeight="1">
      <c r="A9" s="14">
        <f t="shared" si="0"/>
        <v>5</v>
      </c>
      <c r="B9" s="77" t="s">
        <v>2580</v>
      </c>
      <c r="C9" s="149" t="s">
        <v>1454</v>
      </c>
      <c r="D9" s="149">
        <v>0.3</v>
      </c>
    </row>
    <row r="10" spans="1:26" ht="14.1" customHeight="1">
      <c r="A10" s="14">
        <f t="shared" si="0"/>
        <v>6</v>
      </c>
      <c r="B10" s="15" t="s">
        <v>398</v>
      </c>
      <c r="C10" s="149" t="s">
        <v>1454</v>
      </c>
      <c r="D10" s="149">
        <v>0.28999999999999998</v>
      </c>
    </row>
    <row r="11" spans="1:26" ht="14.1" customHeight="1">
      <c r="A11" s="14">
        <f t="shared" si="0"/>
        <v>7</v>
      </c>
      <c r="B11" s="101" t="s">
        <v>2579</v>
      </c>
      <c r="C11" s="152" t="s">
        <v>2545</v>
      </c>
      <c r="D11" s="149">
        <v>0.3</v>
      </c>
    </row>
    <row r="12" spans="1:26" ht="14.1" customHeight="1">
      <c r="A12" s="14">
        <f t="shared" si="0"/>
        <v>8</v>
      </c>
      <c r="B12" s="101" t="s">
        <v>2835</v>
      </c>
      <c r="C12" s="152"/>
      <c r="D12" s="149">
        <v>0.28999999999999998</v>
      </c>
    </row>
    <row r="13" spans="1:26" ht="14.1" customHeight="1">
      <c r="A13" s="14">
        <f t="shared" si="0"/>
        <v>9</v>
      </c>
      <c r="B13" s="101" t="s">
        <v>2891</v>
      </c>
      <c r="C13" s="152" t="s">
        <v>2545</v>
      </c>
      <c r="D13" s="149">
        <v>0.28000000000000003</v>
      </c>
    </row>
    <row r="14" spans="1:26" ht="14.1" customHeight="1">
      <c r="A14" s="14">
        <f t="shared" si="0"/>
        <v>10</v>
      </c>
      <c r="B14" s="101" t="s">
        <v>2787</v>
      </c>
      <c r="C14" s="152"/>
      <c r="D14" s="149">
        <v>0.27</v>
      </c>
      <c r="E14" s="152" t="s">
        <v>2798</v>
      </c>
    </row>
    <row r="15" spans="1:26" ht="14.1" customHeight="1">
      <c r="A15" s="14">
        <f t="shared" si="0"/>
        <v>11</v>
      </c>
      <c r="B15" s="101" t="s">
        <v>2892</v>
      </c>
      <c r="C15" s="152" t="s">
        <v>2545</v>
      </c>
      <c r="D15" s="149">
        <v>0.25</v>
      </c>
    </row>
    <row r="16" spans="1:26" ht="14.1" customHeight="1">
      <c r="A16" s="14">
        <f t="shared" si="0"/>
        <v>12</v>
      </c>
      <c r="B16" s="101" t="s">
        <v>2894</v>
      </c>
      <c r="C16" s="152" t="s">
        <v>2545</v>
      </c>
      <c r="D16" s="149">
        <v>0.24</v>
      </c>
    </row>
    <row r="17" spans="1:5" ht="14.1" customHeight="1">
      <c r="A17" s="14">
        <f t="shared" si="0"/>
        <v>13</v>
      </c>
      <c r="B17" s="101" t="s">
        <v>2893</v>
      </c>
      <c r="C17" s="152" t="s">
        <v>2545</v>
      </c>
      <c r="D17" s="149">
        <v>0.22</v>
      </c>
    </row>
    <row r="18" spans="1:5" ht="14.1" customHeight="1">
      <c r="A18" s="14">
        <f t="shared" si="0"/>
        <v>14</v>
      </c>
      <c r="B18" s="101" t="s">
        <v>2895</v>
      </c>
      <c r="C18" s="152" t="s">
        <v>2545</v>
      </c>
      <c r="D18" s="149">
        <v>0.2</v>
      </c>
      <c r="E18" s="152" t="s">
        <v>2799</v>
      </c>
    </row>
    <row r="19" spans="1:5" ht="14.1" customHeight="1">
      <c r="A19" s="14">
        <f t="shared" si="0"/>
        <v>15</v>
      </c>
      <c r="B19" s="101" t="s">
        <v>2896</v>
      </c>
      <c r="C19" s="152" t="s">
        <v>2545</v>
      </c>
      <c r="D19" s="149">
        <v>0.18</v>
      </c>
    </row>
    <row r="20" spans="1:5" ht="14.1" customHeight="1">
      <c r="A20" s="14">
        <f t="shared" si="0"/>
        <v>16</v>
      </c>
      <c r="B20" s="77" t="s">
        <v>2112</v>
      </c>
      <c r="C20" s="152" t="s">
        <v>2111</v>
      </c>
      <c r="D20" s="149">
        <v>1.2</v>
      </c>
    </row>
    <row r="21" spans="1:5" ht="14.1" customHeight="1">
      <c r="A21" s="14">
        <f t="shared" si="0"/>
        <v>17</v>
      </c>
      <c r="B21" s="77" t="s">
        <v>2113</v>
      </c>
      <c r="C21" s="152" t="s">
        <v>2111</v>
      </c>
      <c r="D21" s="149">
        <v>0.8</v>
      </c>
    </row>
    <row r="22" spans="1:5" ht="14.1" customHeight="1">
      <c r="A22" s="14">
        <f t="shared" si="0"/>
        <v>18</v>
      </c>
      <c r="B22" s="77" t="s">
        <v>2114</v>
      </c>
      <c r="C22" s="152" t="s">
        <v>2111</v>
      </c>
      <c r="D22" s="149">
        <v>2.2000000000000002</v>
      </c>
    </row>
    <row r="23" spans="1:5" ht="14.1" customHeight="1">
      <c r="A23" s="14">
        <f t="shared" si="0"/>
        <v>19</v>
      </c>
      <c r="B23" s="77" t="s">
        <v>2115</v>
      </c>
      <c r="C23" s="152" t="s">
        <v>2111</v>
      </c>
      <c r="D23" s="149">
        <v>0.65</v>
      </c>
    </row>
    <row r="24" spans="1:5" ht="14.1" customHeight="1">
      <c r="A24" s="14">
        <f t="shared" si="0"/>
        <v>20</v>
      </c>
      <c r="B24" s="77" t="s">
        <v>2116</v>
      </c>
      <c r="C24" s="152" t="s">
        <v>2111</v>
      </c>
      <c r="D24" s="149">
        <v>0.95</v>
      </c>
    </row>
    <row r="25" spans="1:5" ht="14.1" customHeight="1">
      <c r="A25" s="14">
        <f t="shared" si="0"/>
        <v>21</v>
      </c>
      <c r="B25" s="77" t="s">
        <v>2117</v>
      </c>
      <c r="C25" s="152" t="s">
        <v>2111</v>
      </c>
      <c r="D25" s="149">
        <v>0.55000000000000004</v>
      </c>
    </row>
    <row r="26" spans="1:5" ht="14.1" customHeight="1">
      <c r="A26" s="14">
        <f t="shared" si="0"/>
        <v>22</v>
      </c>
      <c r="B26" s="77" t="s">
        <v>2118</v>
      </c>
      <c r="C26" s="152" t="s">
        <v>2111</v>
      </c>
      <c r="D26" s="149">
        <v>0.6</v>
      </c>
    </row>
    <row r="27" spans="1:5" ht="14.1" customHeight="1">
      <c r="A27" s="14">
        <f t="shared" si="0"/>
        <v>23</v>
      </c>
      <c r="B27" s="77" t="s">
        <v>3167</v>
      </c>
      <c r="C27" s="152" t="s">
        <v>3168</v>
      </c>
      <c r="D27" s="149">
        <v>0.3</v>
      </c>
    </row>
    <row r="28" spans="1:5" ht="14.1" customHeight="1">
      <c r="A28" s="14">
        <f t="shared" si="0"/>
        <v>24</v>
      </c>
      <c r="B28" s="101" t="s">
        <v>2062</v>
      </c>
      <c r="C28" s="149"/>
      <c r="D28" s="149"/>
    </row>
    <row r="29" spans="1:5" ht="14.1" customHeight="1">
      <c r="A29" s="14">
        <f t="shared" si="0"/>
        <v>25</v>
      </c>
      <c r="B29" s="15" t="s">
        <v>1404</v>
      </c>
      <c r="C29" s="149" t="s">
        <v>1405</v>
      </c>
      <c r="D29" s="149">
        <v>1.2</v>
      </c>
    </row>
    <row r="30" spans="1:5" ht="14.1" customHeight="1">
      <c r="A30" s="14">
        <f t="shared" si="0"/>
        <v>26</v>
      </c>
      <c r="B30" s="15" t="s">
        <v>1406</v>
      </c>
      <c r="C30" s="149" t="s">
        <v>1405</v>
      </c>
      <c r="D30" s="149">
        <v>0.63</v>
      </c>
    </row>
    <row r="31" spans="1:5" ht="14.1" customHeight="1">
      <c r="A31" s="14">
        <f t="shared" si="0"/>
        <v>27</v>
      </c>
      <c r="B31" s="15" t="s">
        <v>1407</v>
      </c>
      <c r="C31" s="149" t="s">
        <v>1405</v>
      </c>
      <c r="D31" s="149">
        <v>0.6</v>
      </c>
    </row>
    <row r="32" spans="1:5" ht="14.1" customHeight="1">
      <c r="A32" s="14">
        <f t="shared" si="0"/>
        <v>28</v>
      </c>
      <c r="B32" s="15" t="s">
        <v>1408</v>
      </c>
      <c r="C32" s="149" t="s">
        <v>1405</v>
      </c>
      <c r="D32" s="149">
        <v>0.57999999999999996</v>
      </c>
    </row>
    <row r="33" spans="1:4" ht="14.1" customHeight="1">
      <c r="A33" s="14">
        <f t="shared" si="0"/>
        <v>29</v>
      </c>
      <c r="B33" s="15" t="s">
        <v>1409</v>
      </c>
      <c r="C33" s="149" t="s">
        <v>1405</v>
      </c>
      <c r="D33" s="149">
        <v>0.53</v>
      </c>
    </row>
    <row r="34" spans="1:4" ht="14.1" customHeight="1">
      <c r="A34" s="14">
        <f t="shared" si="0"/>
        <v>30</v>
      </c>
      <c r="B34" s="15" t="s">
        <v>1410</v>
      </c>
      <c r="C34" s="149" t="s">
        <v>1405</v>
      </c>
      <c r="D34" s="149">
        <v>0.57999999999999996</v>
      </c>
    </row>
    <row r="35" spans="1:4" ht="14.1" customHeight="1">
      <c r="A35" s="14">
        <f t="shared" ref="A35:A93" si="1">A34+1</f>
        <v>31</v>
      </c>
      <c r="B35" s="15" t="s">
        <v>1411</v>
      </c>
      <c r="C35" s="149" t="s">
        <v>1405</v>
      </c>
      <c r="D35" s="149">
        <v>0.55000000000000004</v>
      </c>
    </row>
    <row r="36" spans="1:4" ht="14.1" customHeight="1">
      <c r="A36" s="14">
        <f t="shared" si="1"/>
        <v>32</v>
      </c>
      <c r="B36" s="15" t="s">
        <v>1412</v>
      </c>
      <c r="C36" s="149" t="s">
        <v>1405</v>
      </c>
      <c r="D36" s="149">
        <v>0.51</v>
      </c>
    </row>
    <row r="37" spans="1:4" ht="14.1" customHeight="1">
      <c r="A37" s="14">
        <f t="shared" si="1"/>
        <v>33</v>
      </c>
      <c r="B37" s="15" t="s">
        <v>1413</v>
      </c>
      <c r="C37" s="149" t="s">
        <v>1405</v>
      </c>
      <c r="D37" s="149">
        <v>0.48</v>
      </c>
    </row>
    <row r="38" spans="1:4" ht="14.1" customHeight="1">
      <c r="A38" s="14">
        <f t="shared" si="1"/>
        <v>34</v>
      </c>
      <c r="B38" s="15" t="s">
        <v>1414</v>
      </c>
      <c r="C38" s="149" t="s">
        <v>1405</v>
      </c>
      <c r="D38" s="149">
        <v>0.43</v>
      </c>
    </row>
    <row r="39" spans="1:4" ht="14.1" customHeight="1">
      <c r="A39" s="14">
        <f t="shared" si="1"/>
        <v>35</v>
      </c>
      <c r="B39" s="15" t="s">
        <v>1415</v>
      </c>
      <c r="C39" s="149" t="s">
        <v>1405</v>
      </c>
      <c r="D39" s="149">
        <v>0.41</v>
      </c>
    </row>
    <row r="40" spans="1:4" ht="14.1" customHeight="1">
      <c r="A40" s="14">
        <f t="shared" si="1"/>
        <v>36</v>
      </c>
      <c r="B40" s="15" t="s">
        <v>1416</v>
      </c>
      <c r="C40" s="149" t="s">
        <v>1405</v>
      </c>
      <c r="D40" s="149">
        <v>0.4</v>
      </c>
    </row>
    <row r="41" spans="1:4" ht="14.1" customHeight="1">
      <c r="A41" s="14">
        <f t="shared" si="1"/>
        <v>37</v>
      </c>
      <c r="B41" s="15" t="s">
        <v>1417</v>
      </c>
      <c r="C41" s="149" t="s">
        <v>1405</v>
      </c>
      <c r="D41" s="149">
        <v>0.37</v>
      </c>
    </row>
    <row r="42" spans="1:4" ht="14.1" customHeight="1">
      <c r="A42" s="14">
        <f t="shared" si="1"/>
        <v>38</v>
      </c>
      <c r="B42" s="15" t="s">
        <v>1418</v>
      </c>
      <c r="C42" s="149" t="s">
        <v>1405</v>
      </c>
      <c r="D42" s="149">
        <v>2.31</v>
      </c>
    </row>
    <row r="43" spans="1:4" ht="14.1" customHeight="1">
      <c r="A43" s="14">
        <f t="shared" si="1"/>
        <v>39</v>
      </c>
      <c r="B43" s="15" t="s">
        <v>1419</v>
      </c>
      <c r="C43" s="149" t="s">
        <v>1405</v>
      </c>
      <c r="D43" s="149">
        <v>1.61</v>
      </c>
    </row>
    <row r="44" spans="1:4" ht="14.1" customHeight="1">
      <c r="A44" s="14">
        <f t="shared" si="1"/>
        <v>40</v>
      </c>
      <c r="B44" s="15" t="s">
        <v>1420</v>
      </c>
      <c r="C44" s="149" t="s">
        <v>1405</v>
      </c>
      <c r="D44" s="149">
        <v>1.56</v>
      </c>
    </row>
    <row r="45" spans="1:4" ht="14.1" customHeight="1">
      <c r="A45" s="14">
        <f t="shared" si="1"/>
        <v>41</v>
      </c>
      <c r="B45" s="15" t="s">
        <v>1421</v>
      </c>
      <c r="C45" s="149" t="s">
        <v>1405</v>
      </c>
      <c r="D45" s="149">
        <v>1.54</v>
      </c>
    </row>
    <row r="46" spans="1:4" ht="14.1" customHeight="1">
      <c r="A46" s="14">
        <f t="shared" si="1"/>
        <v>42</v>
      </c>
      <c r="B46" s="15" t="s">
        <v>1421</v>
      </c>
      <c r="C46" s="149" t="s">
        <v>1405</v>
      </c>
      <c r="D46" s="149">
        <v>1.47</v>
      </c>
    </row>
    <row r="47" spans="1:4" ht="14.1" customHeight="1">
      <c r="A47" s="14">
        <f t="shared" si="1"/>
        <v>43</v>
      </c>
      <c r="B47" s="15" t="s">
        <v>1422</v>
      </c>
      <c r="C47" s="149" t="s">
        <v>1405</v>
      </c>
      <c r="D47" s="149">
        <v>1.2</v>
      </c>
    </row>
    <row r="48" spans="1:4" ht="14.1" customHeight="1">
      <c r="A48" s="14">
        <f t="shared" si="1"/>
        <v>44</v>
      </c>
      <c r="B48" s="15" t="s">
        <v>1423</v>
      </c>
      <c r="C48" s="149" t="s">
        <v>1405</v>
      </c>
      <c r="D48" s="149">
        <v>0.75</v>
      </c>
    </row>
    <row r="49" spans="1:4" ht="14.1" customHeight="1">
      <c r="A49" s="14">
        <f t="shared" si="1"/>
        <v>45</v>
      </c>
      <c r="B49" s="15" t="s">
        <v>1424</v>
      </c>
      <c r="C49" s="149" t="s">
        <v>1405</v>
      </c>
      <c r="D49" s="149">
        <v>0.71</v>
      </c>
    </row>
    <row r="50" spans="1:4" ht="14.1" customHeight="1">
      <c r="A50" s="14">
        <f t="shared" si="1"/>
        <v>46</v>
      </c>
      <c r="B50" s="15" t="s">
        <v>1425</v>
      </c>
      <c r="C50" s="149" t="s">
        <v>1405</v>
      </c>
      <c r="D50" s="149">
        <v>0.69</v>
      </c>
    </row>
    <row r="51" spans="1:4" ht="14.1" customHeight="1">
      <c r="A51" s="14">
        <f t="shared" si="1"/>
        <v>47</v>
      </c>
      <c r="B51" s="15" t="s">
        <v>1426</v>
      </c>
      <c r="C51" s="149" t="s">
        <v>1405</v>
      </c>
      <c r="D51" s="149">
        <v>0.62</v>
      </c>
    </row>
    <row r="52" spans="1:4" ht="14.1" customHeight="1">
      <c r="A52" s="14">
        <f t="shared" si="1"/>
        <v>48</v>
      </c>
      <c r="B52" s="15" t="s">
        <v>1427</v>
      </c>
      <c r="C52" s="149" t="s">
        <v>1405</v>
      </c>
      <c r="D52" s="149">
        <v>0.69</v>
      </c>
    </row>
    <row r="53" spans="1:4" ht="14.1" customHeight="1">
      <c r="A53" s="14">
        <f t="shared" si="1"/>
        <v>49</v>
      </c>
      <c r="B53" s="15" t="s">
        <v>1428</v>
      </c>
      <c r="C53" s="149" t="s">
        <v>1405</v>
      </c>
      <c r="D53" s="149">
        <v>0.67</v>
      </c>
    </row>
    <row r="54" spans="1:4" ht="14.1" customHeight="1">
      <c r="A54" s="14">
        <f t="shared" si="1"/>
        <v>50</v>
      </c>
      <c r="B54" s="15" t="s">
        <v>1429</v>
      </c>
      <c r="C54" s="149" t="s">
        <v>1405</v>
      </c>
      <c r="D54" s="149">
        <v>0.61</v>
      </c>
    </row>
    <row r="55" spans="1:4" ht="14.1" customHeight="1">
      <c r="A55" s="14">
        <f t="shared" si="1"/>
        <v>51</v>
      </c>
      <c r="B55" s="15" t="s">
        <v>1430</v>
      </c>
      <c r="C55" s="149" t="s">
        <v>1405</v>
      </c>
      <c r="D55" s="149">
        <v>0.57999999999999996</v>
      </c>
    </row>
    <row r="56" spans="1:4" ht="14.1" customHeight="1">
      <c r="A56" s="14">
        <f t="shared" si="1"/>
        <v>52</v>
      </c>
      <c r="B56" s="15" t="s">
        <v>1431</v>
      </c>
      <c r="C56" s="149" t="s">
        <v>1405</v>
      </c>
      <c r="D56" s="149">
        <v>0.53</v>
      </c>
    </row>
    <row r="57" spans="1:4" ht="14.1" customHeight="1">
      <c r="A57" s="14">
        <f t="shared" si="1"/>
        <v>53</v>
      </c>
      <c r="B57" s="15" t="s">
        <v>1432</v>
      </c>
      <c r="C57" s="149" t="s">
        <v>1405</v>
      </c>
      <c r="D57" s="149">
        <v>0.52</v>
      </c>
    </row>
    <row r="58" spans="1:4" ht="14.1" customHeight="1">
      <c r="A58" s="14">
        <f t="shared" si="1"/>
        <v>54</v>
      </c>
      <c r="B58" s="15" t="s">
        <v>1433</v>
      </c>
      <c r="C58" s="149" t="s">
        <v>1405</v>
      </c>
      <c r="D58" s="149">
        <v>0.49</v>
      </c>
    </row>
    <row r="59" spans="1:4" ht="14.1" customHeight="1">
      <c r="A59" s="14">
        <f t="shared" si="1"/>
        <v>55</v>
      </c>
      <c r="B59" s="15" t="s">
        <v>1434</v>
      </c>
      <c r="C59" s="149" t="s">
        <v>1405</v>
      </c>
      <c r="D59" s="149">
        <v>0.47</v>
      </c>
    </row>
    <row r="60" spans="1:4" ht="14.1" customHeight="1">
      <c r="A60" s="14">
        <f t="shared" si="1"/>
        <v>56</v>
      </c>
      <c r="B60" s="15" t="s">
        <v>1435</v>
      </c>
      <c r="C60" s="149" t="s">
        <v>1405</v>
      </c>
      <c r="D60" s="149">
        <v>1.2</v>
      </c>
    </row>
    <row r="61" spans="1:4" ht="14.1" customHeight="1">
      <c r="A61" s="14">
        <f t="shared" si="1"/>
        <v>57</v>
      </c>
      <c r="B61" s="15" t="s">
        <v>1436</v>
      </c>
      <c r="C61" s="149" t="s">
        <v>1405</v>
      </c>
      <c r="D61" s="149">
        <v>0.92</v>
      </c>
    </row>
    <row r="62" spans="1:4" ht="14.1" customHeight="1">
      <c r="A62" s="14">
        <f t="shared" si="1"/>
        <v>58</v>
      </c>
      <c r="B62" s="15" t="s">
        <v>1437</v>
      </c>
      <c r="C62" s="149" t="s">
        <v>1405</v>
      </c>
      <c r="D62" s="149">
        <v>0.87</v>
      </c>
    </row>
    <row r="63" spans="1:4" ht="14.1" customHeight="1">
      <c r="A63" s="14">
        <f t="shared" si="1"/>
        <v>59</v>
      </c>
      <c r="B63" s="15" t="s">
        <v>1438</v>
      </c>
      <c r="C63" s="149" t="s">
        <v>1405</v>
      </c>
      <c r="D63" s="149">
        <v>0.85</v>
      </c>
    </row>
    <row r="64" spans="1:4" ht="14.1" customHeight="1">
      <c r="A64" s="14">
        <f t="shared" si="1"/>
        <v>60</v>
      </c>
      <c r="B64" s="15" t="s">
        <v>1439</v>
      </c>
      <c r="C64" s="149" t="s">
        <v>1405</v>
      </c>
      <c r="D64" s="149">
        <v>0.79</v>
      </c>
    </row>
    <row r="65" spans="1:4" ht="14.1" customHeight="1">
      <c r="A65" s="14">
        <f t="shared" si="1"/>
        <v>61</v>
      </c>
      <c r="B65" s="15" t="s">
        <v>1440</v>
      </c>
      <c r="C65" s="149" t="s">
        <v>1405</v>
      </c>
      <c r="D65" s="149">
        <v>0.86</v>
      </c>
    </row>
    <row r="66" spans="1:4" ht="14.1" customHeight="1">
      <c r="A66" s="14">
        <f t="shared" si="1"/>
        <v>62</v>
      </c>
      <c r="B66" s="15" t="s">
        <v>1441</v>
      </c>
      <c r="C66" s="149" t="s">
        <v>1405</v>
      </c>
      <c r="D66" s="149">
        <v>0.83</v>
      </c>
    </row>
    <row r="67" spans="1:4" ht="14.1" customHeight="1">
      <c r="A67" s="14">
        <f t="shared" si="1"/>
        <v>63</v>
      </c>
      <c r="B67" s="15" t="s">
        <v>1442</v>
      </c>
      <c r="C67" s="149" t="s">
        <v>1405</v>
      </c>
      <c r="D67" s="149">
        <v>0.78</v>
      </c>
    </row>
    <row r="68" spans="1:4" ht="14.1" customHeight="1">
      <c r="A68" s="14">
        <f t="shared" si="1"/>
        <v>64</v>
      </c>
      <c r="B68" s="15" t="s">
        <v>1443</v>
      </c>
      <c r="C68" s="149" t="s">
        <v>1405</v>
      </c>
      <c r="D68" s="149">
        <v>0.75</v>
      </c>
    </row>
    <row r="69" spans="1:4" ht="14.1" customHeight="1">
      <c r="A69" s="14">
        <f t="shared" si="1"/>
        <v>65</v>
      </c>
      <c r="B69" s="15" t="s">
        <v>1444</v>
      </c>
      <c r="C69" s="149" t="s">
        <v>1405</v>
      </c>
      <c r="D69" s="149">
        <v>0.7</v>
      </c>
    </row>
    <row r="70" spans="1:4" ht="14.1" customHeight="1">
      <c r="A70" s="14">
        <f t="shared" si="1"/>
        <v>66</v>
      </c>
      <c r="B70" s="15" t="s">
        <v>1445</v>
      </c>
      <c r="C70" s="149" t="s">
        <v>1405</v>
      </c>
      <c r="D70" s="149">
        <v>0.69</v>
      </c>
    </row>
    <row r="71" spans="1:4" ht="14.1" customHeight="1">
      <c r="A71" s="14">
        <f t="shared" si="1"/>
        <v>67</v>
      </c>
      <c r="B71" s="15" t="s">
        <v>1446</v>
      </c>
      <c r="C71" s="149" t="s">
        <v>1405</v>
      </c>
      <c r="D71" s="149">
        <v>0.67</v>
      </c>
    </row>
    <row r="72" spans="1:4" ht="14.1" customHeight="1">
      <c r="A72" s="14">
        <f t="shared" si="1"/>
        <v>68</v>
      </c>
      <c r="B72" s="15" t="s">
        <v>1447</v>
      </c>
      <c r="C72" s="149" t="s">
        <v>1405</v>
      </c>
      <c r="D72" s="149">
        <v>0.63</v>
      </c>
    </row>
    <row r="73" spans="1:4" ht="14.1" customHeight="1">
      <c r="A73" s="14">
        <f t="shared" si="1"/>
        <v>69</v>
      </c>
      <c r="B73" s="15" t="s">
        <v>1448</v>
      </c>
      <c r="C73" s="149" t="s">
        <v>1405</v>
      </c>
      <c r="D73" s="149">
        <v>2.6</v>
      </c>
    </row>
    <row r="74" spans="1:4" ht="14.1" customHeight="1">
      <c r="A74" s="14">
        <f t="shared" si="1"/>
        <v>70</v>
      </c>
      <c r="B74" s="15" t="s">
        <v>1449</v>
      </c>
      <c r="C74" s="149" t="s">
        <v>1405</v>
      </c>
      <c r="D74" s="149">
        <v>1.81</v>
      </c>
    </row>
    <row r="75" spans="1:4" ht="14.1" customHeight="1">
      <c r="A75" s="14">
        <f t="shared" si="1"/>
        <v>71</v>
      </c>
      <c r="B75" s="15" t="s">
        <v>1450</v>
      </c>
      <c r="C75" s="149" t="s">
        <v>1405</v>
      </c>
      <c r="D75" s="149">
        <v>1.76</v>
      </c>
    </row>
    <row r="76" spans="1:4" ht="14.1" customHeight="1">
      <c r="A76" s="14">
        <f t="shared" si="1"/>
        <v>72</v>
      </c>
      <c r="B76" s="15" t="s">
        <v>1451</v>
      </c>
      <c r="C76" s="149" t="s">
        <v>1405</v>
      </c>
      <c r="D76" s="149">
        <v>1.73</v>
      </c>
    </row>
    <row r="77" spans="1:4" ht="14.1" customHeight="1">
      <c r="A77" s="14">
        <f t="shared" si="1"/>
        <v>73</v>
      </c>
      <c r="B77" s="15" t="s">
        <v>1451</v>
      </c>
      <c r="C77" s="149" t="s">
        <v>1405</v>
      </c>
      <c r="D77" s="149">
        <v>1.64</v>
      </c>
    </row>
    <row r="78" spans="1:4" ht="14.1" customHeight="1">
      <c r="A78" s="14">
        <f t="shared" si="1"/>
        <v>74</v>
      </c>
      <c r="B78" s="15" t="s">
        <v>1452</v>
      </c>
      <c r="C78" s="149" t="s">
        <v>1405</v>
      </c>
      <c r="D78" s="149">
        <v>0.51</v>
      </c>
    </row>
    <row r="79" spans="1:4" ht="14.1" customHeight="1">
      <c r="A79" s="14">
        <f t="shared" si="1"/>
        <v>75</v>
      </c>
      <c r="B79" s="15" t="s">
        <v>1453</v>
      </c>
      <c r="C79" s="149" t="s">
        <v>1454</v>
      </c>
      <c r="D79" s="149">
        <v>0.59</v>
      </c>
    </row>
    <row r="80" spans="1:4" ht="14.1" customHeight="1">
      <c r="A80" s="14">
        <f t="shared" si="1"/>
        <v>76</v>
      </c>
      <c r="B80" s="15" t="s">
        <v>1455</v>
      </c>
      <c r="C80" s="149" t="s">
        <v>1454</v>
      </c>
      <c r="D80" s="149">
        <v>0.56000000000000005</v>
      </c>
    </row>
    <row r="81" spans="1:4" ht="14.1" customHeight="1">
      <c r="A81" s="14">
        <f t="shared" si="1"/>
        <v>77</v>
      </c>
      <c r="B81" s="15" t="s">
        <v>1456</v>
      </c>
      <c r="C81" s="149" t="s">
        <v>1454</v>
      </c>
      <c r="D81" s="149">
        <v>0.54</v>
      </c>
    </row>
    <row r="82" spans="1:4" ht="14.1" customHeight="1">
      <c r="A82" s="14">
        <f t="shared" si="1"/>
        <v>78</v>
      </c>
      <c r="B82" s="15" t="s">
        <v>1457</v>
      </c>
      <c r="C82" s="149" t="s">
        <v>1454</v>
      </c>
      <c r="D82" s="149">
        <v>0.51</v>
      </c>
    </row>
    <row r="83" spans="1:4" ht="14.1" customHeight="1">
      <c r="A83" s="14">
        <f t="shared" si="1"/>
        <v>79</v>
      </c>
      <c r="B83" s="15" t="s">
        <v>1458</v>
      </c>
      <c r="C83" s="149" t="s">
        <v>1454</v>
      </c>
      <c r="D83" s="149">
        <v>0.49</v>
      </c>
    </row>
    <row r="84" spans="1:4" ht="14.1" customHeight="1">
      <c r="A84" s="14">
        <f t="shared" si="1"/>
        <v>80</v>
      </c>
      <c r="B84" s="15" t="s">
        <v>1459</v>
      </c>
      <c r="C84" s="149" t="s">
        <v>1454</v>
      </c>
      <c r="D84" s="149">
        <v>0.49</v>
      </c>
    </row>
    <row r="85" spans="1:4" ht="14.1" customHeight="1">
      <c r="A85" s="14">
        <f t="shared" si="1"/>
        <v>81</v>
      </c>
      <c r="B85" s="15" t="s">
        <v>1460</v>
      </c>
      <c r="C85" s="149" t="s">
        <v>1454</v>
      </c>
      <c r="D85" s="149">
        <v>0.46</v>
      </c>
    </row>
    <row r="86" spans="1:4" ht="14.1" customHeight="1">
      <c r="A86" s="14">
        <f t="shared" si="1"/>
        <v>82</v>
      </c>
      <c r="B86" s="15" t="s">
        <v>1461</v>
      </c>
      <c r="C86" s="149" t="s">
        <v>1454</v>
      </c>
      <c r="D86" s="149">
        <v>0.43</v>
      </c>
    </row>
    <row r="87" spans="1:4" ht="14.1" customHeight="1">
      <c r="A87" s="14">
        <f t="shared" si="1"/>
        <v>83</v>
      </c>
      <c r="B87" s="15" t="s">
        <v>1462</v>
      </c>
      <c r="C87" s="149" t="s">
        <v>1454</v>
      </c>
      <c r="D87" s="149">
        <v>0.56999999999999995</v>
      </c>
    </row>
    <row r="88" spans="1:4" ht="14.1" customHeight="1">
      <c r="A88" s="14">
        <f t="shared" si="1"/>
        <v>84</v>
      </c>
      <c r="B88" s="15" t="s">
        <v>1463</v>
      </c>
      <c r="C88" s="149" t="s">
        <v>1454</v>
      </c>
      <c r="D88" s="149">
        <v>0.54</v>
      </c>
    </row>
    <row r="89" spans="1:4" ht="14.1" customHeight="1">
      <c r="A89" s="14">
        <f t="shared" si="1"/>
        <v>85</v>
      </c>
      <c r="B89" s="15" t="s">
        <v>1464</v>
      </c>
      <c r="C89" s="149" t="s">
        <v>1454</v>
      </c>
      <c r="D89" s="149">
        <v>0.51</v>
      </c>
    </row>
    <row r="90" spans="1:4" ht="14.1" customHeight="1">
      <c r="A90" s="14">
        <f t="shared" si="1"/>
        <v>86</v>
      </c>
      <c r="B90" s="15" t="s">
        <v>1465</v>
      </c>
      <c r="C90" s="149" t="s">
        <v>1454</v>
      </c>
      <c r="D90" s="149">
        <v>0.48</v>
      </c>
    </row>
    <row r="91" spans="1:4" ht="14.1" customHeight="1">
      <c r="A91" s="14">
        <f t="shared" si="1"/>
        <v>87</v>
      </c>
      <c r="B91" s="15" t="s">
        <v>1466</v>
      </c>
      <c r="C91" s="149" t="s">
        <v>1454</v>
      </c>
      <c r="D91" s="149">
        <v>0.46</v>
      </c>
    </row>
    <row r="92" spans="1:4" ht="14.1" customHeight="1">
      <c r="A92" s="14">
        <f t="shared" si="1"/>
        <v>88</v>
      </c>
      <c r="B92" s="15" t="s">
        <v>1467</v>
      </c>
      <c r="C92" s="149" t="s">
        <v>1454</v>
      </c>
      <c r="D92" s="149">
        <v>0.47</v>
      </c>
    </row>
    <row r="93" spans="1:4" ht="14.1" customHeight="1">
      <c r="A93" s="14">
        <f t="shared" si="1"/>
        <v>89</v>
      </c>
      <c r="B93" s="15" t="s">
        <v>1468</v>
      </c>
      <c r="C93" s="149" t="s">
        <v>1454</v>
      </c>
      <c r="D93" s="149">
        <v>0.44</v>
      </c>
    </row>
    <row r="94" spans="1:4" ht="14.1" customHeight="1">
      <c r="A94" s="14">
        <f t="shared" ref="A94:A157" si="2">A93+1</f>
        <v>90</v>
      </c>
      <c r="B94" s="15" t="s">
        <v>1469</v>
      </c>
      <c r="C94" s="149" t="s">
        <v>1454</v>
      </c>
      <c r="D94" s="149">
        <v>0.41</v>
      </c>
    </row>
    <row r="95" spans="1:4" ht="14.1" customHeight="1">
      <c r="A95" s="14">
        <f t="shared" si="2"/>
        <v>91</v>
      </c>
      <c r="B95" s="15" t="s">
        <v>1470</v>
      </c>
      <c r="C95" s="149" t="s">
        <v>1454</v>
      </c>
      <c r="D95" s="149">
        <v>0.54</v>
      </c>
    </row>
    <row r="96" spans="1:4" ht="14.1" customHeight="1">
      <c r="A96" s="14">
        <f t="shared" si="2"/>
        <v>92</v>
      </c>
      <c r="B96" s="15" t="s">
        <v>1471</v>
      </c>
      <c r="C96" s="149" t="s">
        <v>1454</v>
      </c>
      <c r="D96" s="149">
        <v>0.51</v>
      </c>
    </row>
    <row r="97" spans="1:4" ht="14.1" customHeight="1">
      <c r="A97" s="14">
        <f t="shared" si="2"/>
        <v>93</v>
      </c>
      <c r="B97" s="15" t="s">
        <v>1472</v>
      </c>
      <c r="C97" s="149" t="s">
        <v>1454</v>
      </c>
      <c r="D97" s="149">
        <v>0.47</v>
      </c>
    </row>
    <row r="98" spans="1:4" ht="14.1" customHeight="1">
      <c r="A98" s="14">
        <f t="shared" si="2"/>
        <v>94</v>
      </c>
      <c r="B98" s="15" t="s">
        <v>1473</v>
      </c>
      <c r="C98" s="149" t="s">
        <v>1454</v>
      </c>
      <c r="D98" s="149">
        <v>0.44</v>
      </c>
    </row>
    <row r="99" spans="1:4" ht="14.1" customHeight="1">
      <c r="A99" s="14">
        <f t="shared" si="2"/>
        <v>95</v>
      </c>
      <c r="B99" s="15" t="s">
        <v>1474</v>
      </c>
      <c r="C99" s="149" t="s">
        <v>1454</v>
      </c>
      <c r="D99" s="149">
        <v>0.42</v>
      </c>
    </row>
    <row r="100" spans="1:4" ht="14.1" customHeight="1">
      <c r="A100" s="14">
        <f t="shared" si="2"/>
        <v>96</v>
      </c>
      <c r="B100" s="15" t="s">
        <v>1475</v>
      </c>
      <c r="C100" s="149" t="s">
        <v>1454</v>
      </c>
      <c r="D100" s="149">
        <v>0.44</v>
      </c>
    </row>
    <row r="101" spans="1:4" ht="14.1" customHeight="1">
      <c r="A101" s="14">
        <f t="shared" si="2"/>
        <v>97</v>
      </c>
      <c r="B101" s="15" t="s">
        <v>1476</v>
      </c>
      <c r="C101" s="149" t="s">
        <v>1454</v>
      </c>
      <c r="D101" s="149">
        <v>0.4</v>
      </c>
    </row>
    <row r="102" spans="1:4" ht="14.1" customHeight="1">
      <c r="A102" s="14">
        <f t="shared" si="2"/>
        <v>98</v>
      </c>
      <c r="B102" s="15" t="s">
        <v>1477</v>
      </c>
      <c r="C102" s="149" t="s">
        <v>1454</v>
      </c>
      <c r="D102" s="149">
        <v>0.38</v>
      </c>
    </row>
    <row r="103" spans="1:4" ht="14.1" customHeight="1">
      <c r="A103" s="14">
        <f t="shared" si="2"/>
        <v>99</v>
      </c>
      <c r="B103" s="15" t="s">
        <v>1478</v>
      </c>
      <c r="C103" s="149" t="s">
        <v>1454</v>
      </c>
      <c r="D103" s="149">
        <v>0.44</v>
      </c>
    </row>
    <row r="104" spans="1:4" ht="14.1" customHeight="1">
      <c r="A104" s="14">
        <f t="shared" si="2"/>
        <v>100</v>
      </c>
      <c r="B104" s="15" t="s">
        <v>1479</v>
      </c>
      <c r="C104" s="149" t="s">
        <v>1454</v>
      </c>
      <c r="D104" s="149">
        <v>0.42</v>
      </c>
    </row>
    <row r="105" spans="1:4" ht="14.1" customHeight="1">
      <c r="A105" s="14">
        <f t="shared" si="2"/>
        <v>101</v>
      </c>
      <c r="B105" s="15" t="s">
        <v>345</v>
      </c>
      <c r="C105" s="149" t="s">
        <v>1454</v>
      </c>
      <c r="D105" s="149">
        <v>0.4</v>
      </c>
    </row>
    <row r="106" spans="1:4" ht="14.1" customHeight="1">
      <c r="A106" s="14">
        <f t="shared" si="2"/>
        <v>102</v>
      </c>
      <c r="B106" s="15" t="s">
        <v>346</v>
      </c>
      <c r="C106" s="149" t="s">
        <v>1454</v>
      </c>
      <c r="D106" s="149">
        <v>0.41</v>
      </c>
    </row>
    <row r="107" spans="1:4" ht="14.1" customHeight="1">
      <c r="A107" s="14">
        <f t="shared" si="2"/>
        <v>103</v>
      </c>
      <c r="B107" s="15" t="s">
        <v>347</v>
      </c>
      <c r="C107" s="149" t="s">
        <v>1454</v>
      </c>
      <c r="D107" s="149">
        <v>0.4</v>
      </c>
    </row>
    <row r="108" spans="1:4" ht="14.1" customHeight="1">
      <c r="A108" s="14">
        <f t="shared" si="2"/>
        <v>104</v>
      </c>
      <c r="B108" s="15" t="s">
        <v>348</v>
      </c>
      <c r="C108" s="149" t="s">
        <v>1454</v>
      </c>
      <c r="D108" s="149">
        <v>0.39</v>
      </c>
    </row>
    <row r="109" spans="1:4" ht="14.1" customHeight="1">
      <c r="A109" s="14">
        <f t="shared" si="2"/>
        <v>105</v>
      </c>
      <c r="B109" s="15" t="s">
        <v>349</v>
      </c>
      <c r="C109" s="149" t="s">
        <v>1454</v>
      </c>
      <c r="D109" s="149">
        <v>0.37</v>
      </c>
    </row>
    <row r="110" spans="1:4" ht="14.1" customHeight="1">
      <c r="A110" s="14">
        <f t="shared" si="2"/>
        <v>106</v>
      </c>
      <c r="B110" s="15" t="s">
        <v>350</v>
      </c>
      <c r="C110" s="149" t="s">
        <v>1454</v>
      </c>
      <c r="D110" s="149">
        <v>0.36</v>
      </c>
    </row>
    <row r="111" spans="1:4" ht="14.1" customHeight="1">
      <c r="A111" s="14">
        <f t="shared" si="2"/>
        <v>107</v>
      </c>
      <c r="B111" s="15" t="s">
        <v>351</v>
      </c>
      <c r="C111" s="149" t="s">
        <v>1454</v>
      </c>
      <c r="D111" s="149">
        <v>0.4</v>
      </c>
    </row>
    <row r="112" spans="1:4" ht="14.1" customHeight="1">
      <c r="A112" s="14">
        <f t="shared" si="2"/>
        <v>108</v>
      </c>
      <c r="B112" s="15" t="s">
        <v>352</v>
      </c>
      <c r="C112" s="149" t="s">
        <v>1454</v>
      </c>
      <c r="D112" s="149">
        <v>0.38</v>
      </c>
    </row>
    <row r="113" spans="1:4" ht="14.1" customHeight="1">
      <c r="A113" s="14">
        <f t="shared" si="2"/>
        <v>109</v>
      </c>
      <c r="B113" s="15" t="s">
        <v>353</v>
      </c>
      <c r="C113" s="149" t="s">
        <v>1454</v>
      </c>
      <c r="D113" s="149">
        <v>0.37</v>
      </c>
    </row>
    <row r="114" spans="1:4" ht="14.1" customHeight="1">
      <c r="A114" s="14">
        <f t="shared" si="2"/>
        <v>110</v>
      </c>
      <c r="B114" s="15" t="s">
        <v>354</v>
      </c>
      <c r="C114" s="149" t="s">
        <v>1454</v>
      </c>
      <c r="D114" s="149">
        <v>0.35</v>
      </c>
    </row>
    <row r="115" spans="1:4" ht="14.1" customHeight="1">
      <c r="A115" s="14">
        <f t="shared" si="2"/>
        <v>111</v>
      </c>
      <c r="B115" s="15" t="s">
        <v>355</v>
      </c>
      <c r="C115" s="149" t="s">
        <v>1454</v>
      </c>
      <c r="D115" s="149">
        <v>0.33</v>
      </c>
    </row>
    <row r="116" spans="1:4" ht="14.1" customHeight="1">
      <c r="A116" s="14">
        <f t="shared" si="2"/>
        <v>112</v>
      </c>
      <c r="B116" s="15" t="s">
        <v>356</v>
      </c>
      <c r="C116" s="149" t="s">
        <v>1454</v>
      </c>
      <c r="D116" s="149">
        <v>0.35</v>
      </c>
    </row>
    <row r="117" spans="1:4" ht="14.1" customHeight="1">
      <c r="A117" s="14">
        <f t="shared" si="2"/>
        <v>113</v>
      </c>
      <c r="B117" s="15" t="s">
        <v>357</v>
      </c>
      <c r="C117" s="149" t="s">
        <v>1454</v>
      </c>
      <c r="D117" s="149">
        <v>0.32</v>
      </c>
    </row>
    <row r="118" spans="1:4" ht="14.1" customHeight="1">
      <c r="A118" s="14">
        <f t="shared" si="2"/>
        <v>114</v>
      </c>
      <c r="B118" s="15" t="s">
        <v>358</v>
      </c>
      <c r="C118" s="149" t="s">
        <v>1454</v>
      </c>
      <c r="D118" s="149">
        <v>0.31</v>
      </c>
    </row>
    <row r="119" spans="1:4" ht="14.1" customHeight="1">
      <c r="A119" s="14">
        <f t="shared" si="2"/>
        <v>115</v>
      </c>
      <c r="B119" s="15" t="s">
        <v>359</v>
      </c>
      <c r="C119" s="149" t="s">
        <v>1454</v>
      </c>
      <c r="D119" s="149">
        <v>0.56000000000000005</v>
      </c>
    </row>
    <row r="120" spans="1:4" ht="14.1" customHeight="1">
      <c r="A120" s="14">
        <f t="shared" si="2"/>
        <v>116</v>
      </c>
      <c r="B120" s="15" t="s">
        <v>360</v>
      </c>
      <c r="C120" s="149" t="s">
        <v>1454</v>
      </c>
      <c r="D120" s="149">
        <v>0.53</v>
      </c>
    </row>
    <row r="121" spans="1:4" ht="14.1" customHeight="1">
      <c r="A121" s="14">
        <f t="shared" si="2"/>
        <v>117</v>
      </c>
      <c r="B121" s="15" t="s">
        <v>361</v>
      </c>
      <c r="C121" s="149" t="s">
        <v>1454</v>
      </c>
      <c r="D121" s="149">
        <v>0.52</v>
      </c>
    </row>
    <row r="122" spans="1:4" ht="14.1" customHeight="1">
      <c r="A122" s="14">
        <f t="shared" si="2"/>
        <v>118</v>
      </c>
      <c r="B122" s="15" t="s">
        <v>362</v>
      </c>
      <c r="C122" s="149" t="s">
        <v>1454</v>
      </c>
      <c r="D122" s="149">
        <v>0.49</v>
      </c>
    </row>
    <row r="123" spans="1:4" ht="14.1" customHeight="1">
      <c r="A123" s="14">
        <f t="shared" si="2"/>
        <v>119</v>
      </c>
      <c r="B123" s="15" t="s">
        <v>363</v>
      </c>
      <c r="C123" s="149" t="s">
        <v>1454</v>
      </c>
      <c r="D123" s="149">
        <v>0.47</v>
      </c>
    </row>
    <row r="124" spans="1:4" ht="14.1" customHeight="1">
      <c r="A124" s="14">
        <f t="shared" si="2"/>
        <v>120</v>
      </c>
      <c r="B124" s="15" t="s">
        <v>364</v>
      </c>
      <c r="C124" s="149" t="s">
        <v>1454</v>
      </c>
      <c r="D124" s="149">
        <v>0.47</v>
      </c>
    </row>
    <row r="125" spans="1:4" ht="14.1" customHeight="1">
      <c r="A125" s="14">
        <f t="shared" si="2"/>
        <v>121</v>
      </c>
      <c r="B125" s="15" t="s">
        <v>365</v>
      </c>
      <c r="C125" s="149" t="s">
        <v>1454</v>
      </c>
      <c r="D125" s="149">
        <v>0.43</v>
      </c>
    </row>
    <row r="126" spans="1:4" ht="14.1" customHeight="1">
      <c r="A126" s="14">
        <f t="shared" si="2"/>
        <v>122</v>
      </c>
      <c r="B126" s="15" t="s">
        <v>366</v>
      </c>
      <c r="C126" s="149" t="s">
        <v>1454</v>
      </c>
      <c r="D126" s="149">
        <v>0.41</v>
      </c>
    </row>
    <row r="127" spans="1:4" ht="14.1" customHeight="1">
      <c r="A127" s="14">
        <f t="shared" si="2"/>
        <v>123</v>
      </c>
      <c r="B127" s="15" t="s">
        <v>367</v>
      </c>
      <c r="C127" s="149" t="s">
        <v>1454</v>
      </c>
      <c r="D127" s="149">
        <v>0.54</v>
      </c>
    </row>
    <row r="128" spans="1:4" ht="14.1" customHeight="1">
      <c r="A128" s="14">
        <f t="shared" si="2"/>
        <v>124</v>
      </c>
      <c r="B128" s="15" t="s">
        <v>368</v>
      </c>
      <c r="C128" s="149" t="s">
        <v>1454</v>
      </c>
      <c r="D128" s="149">
        <v>0.51</v>
      </c>
    </row>
    <row r="129" spans="1:4" ht="14.1" customHeight="1">
      <c r="A129" s="14">
        <f t="shared" si="2"/>
        <v>125</v>
      </c>
      <c r="B129" s="15" t="s">
        <v>369</v>
      </c>
      <c r="C129" s="149" t="s">
        <v>1454</v>
      </c>
      <c r="D129" s="149">
        <v>0.48</v>
      </c>
    </row>
    <row r="130" spans="1:4" ht="14.1" customHeight="1">
      <c r="A130" s="14">
        <f t="shared" si="2"/>
        <v>126</v>
      </c>
      <c r="B130" s="15" t="s">
        <v>370</v>
      </c>
      <c r="C130" s="149" t="s">
        <v>1454</v>
      </c>
      <c r="D130" s="149">
        <v>0.45</v>
      </c>
    </row>
    <row r="131" spans="1:4" ht="14.1" customHeight="1">
      <c r="A131" s="14">
        <f t="shared" si="2"/>
        <v>127</v>
      </c>
      <c r="B131" s="15" t="s">
        <v>371</v>
      </c>
      <c r="C131" s="149" t="s">
        <v>1454</v>
      </c>
      <c r="D131" s="149">
        <v>0.43</v>
      </c>
    </row>
    <row r="132" spans="1:4" ht="14.1" customHeight="1">
      <c r="A132" s="14">
        <f t="shared" si="2"/>
        <v>128</v>
      </c>
      <c r="B132" s="15" t="s">
        <v>372</v>
      </c>
      <c r="C132" s="149" t="s">
        <v>1454</v>
      </c>
      <c r="D132" s="149">
        <v>0.44</v>
      </c>
    </row>
    <row r="133" spans="1:4" ht="14.1" customHeight="1">
      <c r="A133" s="14">
        <f t="shared" si="2"/>
        <v>129</v>
      </c>
      <c r="B133" s="15" t="s">
        <v>373</v>
      </c>
      <c r="C133" s="149" t="s">
        <v>1454</v>
      </c>
      <c r="D133" s="149">
        <v>0.41</v>
      </c>
    </row>
    <row r="134" spans="1:4" ht="14.1" customHeight="1">
      <c r="A134" s="14">
        <f t="shared" si="2"/>
        <v>130</v>
      </c>
      <c r="B134" s="15" t="s">
        <v>374</v>
      </c>
      <c r="C134" s="149" t="s">
        <v>1454</v>
      </c>
      <c r="D134" s="149">
        <v>0.39</v>
      </c>
    </row>
    <row r="135" spans="1:4" ht="14.1" customHeight="1">
      <c r="A135" s="14">
        <f t="shared" si="2"/>
        <v>131</v>
      </c>
      <c r="B135" s="15" t="s">
        <v>375</v>
      </c>
      <c r="C135" s="149" t="s">
        <v>1454</v>
      </c>
      <c r="D135" s="149">
        <v>0.5</v>
      </c>
    </row>
    <row r="136" spans="1:4" ht="14.1" customHeight="1">
      <c r="A136" s="14">
        <f t="shared" si="2"/>
        <v>132</v>
      </c>
      <c r="B136" s="15" t="s">
        <v>376</v>
      </c>
      <c r="C136" s="149" t="s">
        <v>1454</v>
      </c>
      <c r="D136" s="149">
        <v>0.48</v>
      </c>
    </row>
    <row r="137" spans="1:4" ht="14.1" customHeight="1">
      <c r="A137" s="14">
        <f t="shared" si="2"/>
        <v>133</v>
      </c>
      <c r="B137" s="15" t="s">
        <v>377</v>
      </c>
      <c r="C137" s="149" t="s">
        <v>1454</v>
      </c>
      <c r="D137" s="149">
        <v>0.44</v>
      </c>
    </row>
    <row r="138" spans="1:4" ht="14.1" customHeight="1">
      <c r="A138" s="14">
        <f t="shared" si="2"/>
        <v>134</v>
      </c>
      <c r="B138" s="15" t="s">
        <v>378</v>
      </c>
      <c r="C138" s="149" t="s">
        <v>1454</v>
      </c>
      <c r="D138" s="149">
        <v>0.4</v>
      </c>
    </row>
    <row r="139" spans="1:4" ht="14.1" customHeight="1">
      <c r="A139" s="14">
        <f t="shared" si="2"/>
        <v>135</v>
      </c>
      <c r="B139" s="15" t="s">
        <v>379</v>
      </c>
      <c r="C139" s="149" t="s">
        <v>1454</v>
      </c>
      <c r="D139" s="149">
        <v>0.35</v>
      </c>
    </row>
    <row r="140" spans="1:4" ht="14.1" customHeight="1">
      <c r="A140" s="14">
        <f t="shared" si="2"/>
        <v>136</v>
      </c>
      <c r="B140" s="15" t="s">
        <v>380</v>
      </c>
      <c r="C140" s="149" t="s">
        <v>1454</v>
      </c>
      <c r="D140" s="149">
        <v>0.42</v>
      </c>
    </row>
    <row r="141" spans="1:4" ht="14.1" customHeight="1">
      <c r="A141" s="14">
        <f t="shared" si="2"/>
        <v>137</v>
      </c>
      <c r="B141" s="15" t="s">
        <v>381</v>
      </c>
      <c r="C141" s="149" t="s">
        <v>1454</v>
      </c>
      <c r="D141" s="149">
        <v>0.37</v>
      </c>
    </row>
    <row r="142" spans="1:4" ht="14.1" customHeight="1">
      <c r="A142" s="14">
        <f t="shared" si="2"/>
        <v>138</v>
      </c>
      <c r="B142" s="15" t="s">
        <v>382</v>
      </c>
      <c r="C142" s="149" t="s">
        <v>1454</v>
      </c>
      <c r="D142" s="149">
        <v>0.35</v>
      </c>
    </row>
    <row r="143" spans="1:4" ht="14.1" customHeight="1">
      <c r="A143" s="14">
        <f t="shared" si="2"/>
        <v>139</v>
      </c>
      <c r="B143" s="15" t="s">
        <v>383</v>
      </c>
      <c r="C143" s="149" t="s">
        <v>1454</v>
      </c>
      <c r="D143" s="149">
        <v>0.42</v>
      </c>
    </row>
    <row r="144" spans="1:4" ht="14.1" customHeight="1">
      <c r="A144" s="14">
        <f t="shared" si="2"/>
        <v>140</v>
      </c>
      <c r="B144" s="15" t="s">
        <v>384</v>
      </c>
      <c r="C144" s="149" t="s">
        <v>1454</v>
      </c>
      <c r="D144" s="149">
        <v>0.39</v>
      </c>
    </row>
    <row r="145" spans="1:4" ht="14.1" customHeight="1">
      <c r="A145" s="14">
        <f t="shared" si="2"/>
        <v>141</v>
      </c>
      <c r="B145" s="15" t="s">
        <v>385</v>
      </c>
      <c r="C145" s="149" t="s">
        <v>1454</v>
      </c>
      <c r="D145" s="149">
        <v>0.4</v>
      </c>
    </row>
    <row r="146" spans="1:4" ht="14.1" customHeight="1">
      <c r="A146" s="14">
        <f t="shared" si="2"/>
        <v>142</v>
      </c>
      <c r="B146" s="15" t="s">
        <v>386</v>
      </c>
      <c r="C146" s="149" t="s">
        <v>1454</v>
      </c>
      <c r="D146" s="149">
        <v>0.39</v>
      </c>
    </row>
    <row r="147" spans="1:4" ht="14.1" customHeight="1">
      <c r="A147" s="14">
        <f t="shared" si="2"/>
        <v>143</v>
      </c>
      <c r="B147" s="15" t="s">
        <v>387</v>
      </c>
      <c r="C147" s="149" t="s">
        <v>1454</v>
      </c>
      <c r="D147" s="149">
        <v>0.38</v>
      </c>
    </row>
    <row r="148" spans="1:4" ht="14.1" customHeight="1">
      <c r="A148" s="14">
        <f t="shared" si="2"/>
        <v>144</v>
      </c>
      <c r="B148" s="15" t="s">
        <v>388</v>
      </c>
      <c r="C148" s="149" t="s">
        <v>1454</v>
      </c>
      <c r="D148" s="149">
        <v>0.37</v>
      </c>
    </row>
    <row r="149" spans="1:4" ht="14.1" customHeight="1">
      <c r="A149" s="14">
        <f t="shared" si="2"/>
        <v>145</v>
      </c>
      <c r="B149" s="15" t="s">
        <v>389</v>
      </c>
      <c r="C149" s="149" t="s">
        <v>1454</v>
      </c>
      <c r="D149" s="149">
        <v>0.34</v>
      </c>
    </row>
    <row r="150" spans="1:4" ht="14.1" customHeight="1">
      <c r="A150" s="14">
        <f t="shared" si="2"/>
        <v>146</v>
      </c>
      <c r="B150" s="15" t="s">
        <v>390</v>
      </c>
      <c r="C150" s="149" t="s">
        <v>1454</v>
      </c>
      <c r="D150" s="149">
        <v>0.34</v>
      </c>
    </row>
    <row r="151" spans="1:4" ht="14.1" customHeight="1">
      <c r="A151" s="14">
        <f t="shared" si="2"/>
        <v>147</v>
      </c>
      <c r="B151" s="15" t="s">
        <v>391</v>
      </c>
      <c r="C151" s="149" t="s">
        <v>1454</v>
      </c>
      <c r="D151" s="149">
        <v>0.37</v>
      </c>
    </row>
    <row r="152" spans="1:4" ht="14.1" customHeight="1">
      <c r="A152" s="14">
        <f t="shared" si="2"/>
        <v>148</v>
      </c>
      <c r="B152" s="15" t="s">
        <v>392</v>
      </c>
      <c r="C152" s="149" t="s">
        <v>1454</v>
      </c>
      <c r="D152" s="149">
        <v>0.36</v>
      </c>
    </row>
    <row r="153" spans="1:4" ht="14.1" customHeight="1">
      <c r="A153" s="14">
        <f t="shared" si="2"/>
        <v>149</v>
      </c>
      <c r="B153" s="15" t="s">
        <v>393</v>
      </c>
      <c r="C153" s="149" t="s">
        <v>1454</v>
      </c>
      <c r="D153" s="149">
        <v>0.35</v>
      </c>
    </row>
    <row r="154" spans="1:4" ht="14.1" customHeight="1">
      <c r="A154" s="14">
        <f t="shared" si="2"/>
        <v>150</v>
      </c>
      <c r="B154" s="15" t="s">
        <v>394</v>
      </c>
      <c r="C154" s="149" t="s">
        <v>1454</v>
      </c>
      <c r="D154" s="149">
        <v>0.32</v>
      </c>
    </row>
    <row r="155" spans="1:4" ht="14.1" customHeight="1">
      <c r="A155" s="14">
        <f t="shared" si="2"/>
        <v>151</v>
      </c>
      <c r="B155" s="15" t="s">
        <v>395</v>
      </c>
      <c r="C155" s="149" t="s">
        <v>1454</v>
      </c>
      <c r="D155" s="149">
        <v>0.31</v>
      </c>
    </row>
    <row r="156" spans="1:4" ht="14.1" customHeight="1">
      <c r="A156" s="14">
        <f t="shared" si="2"/>
        <v>152</v>
      </c>
      <c r="B156" s="15" t="s">
        <v>396</v>
      </c>
      <c r="C156" s="149" t="s">
        <v>1454</v>
      </c>
      <c r="D156" s="149">
        <v>0.32</v>
      </c>
    </row>
    <row r="157" spans="1:4" ht="14.1" customHeight="1">
      <c r="A157" s="14">
        <f t="shared" si="2"/>
        <v>153</v>
      </c>
      <c r="B157" s="15" t="s">
        <v>397</v>
      </c>
      <c r="C157" s="149" t="s">
        <v>1454</v>
      </c>
      <c r="D157" s="149">
        <v>0.3</v>
      </c>
    </row>
    <row r="158" spans="1:4" ht="14.1" customHeight="1">
      <c r="A158" s="14">
        <f t="shared" ref="A158:A221" si="3">A157+1</f>
        <v>154</v>
      </c>
      <c r="B158" s="15" t="s">
        <v>398</v>
      </c>
      <c r="C158" s="149" t="s">
        <v>1454</v>
      </c>
      <c r="D158" s="149">
        <v>0.28999999999999998</v>
      </c>
    </row>
    <row r="159" spans="1:4" ht="14.1" customHeight="1">
      <c r="A159" s="14">
        <f t="shared" si="3"/>
        <v>155</v>
      </c>
      <c r="B159" s="15" t="s">
        <v>399</v>
      </c>
      <c r="C159" s="149" t="s">
        <v>1454</v>
      </c>
      <c r="D159" s="149">
        <v>0.66</v>
      </c>
    </row>
    <row r="160" spans="1:4" ht="14.1" customHeight="1">
      <c r="A160" s="14">
        <f t="shared" si="3"/>
        <v>156</v>
      </c>
      <c r="B160" s="15" t="s">
        <v>400</v>
      </c>
      <c r="C160" s="149" t="s">
        <v>1454</v>
      </c>
      <c r="D160" s="149">
        <v>0.63</v>
      </c>
    </row>
    <row r="161" spans="1:4" ht="14.1" customHeight="1">
      <c r="A161" s="14">
        <f t="shared" si="3"/>
        <v>157</v>
      </c>
      <c r="B161" s="15" t="s">
        <v>401</v>
      </c>
      <c r="C161" s="149" t="s">
        <v>1454</v>
      </c>
      <c r="D161" s="149">
        <v>0.61</v>
      </c>
    </row>
    <row r="162" spans="1:4" ht="14.1" customHeight="1">
      <c r="A162" s="14">
        <f t="shared" si="3"/>
        <v>158</v>
      </c>
      <c r="B162" s="15" t="s">
        <v>402</v>
      </c>
      <c r="C162" s="149" t="s">
        <v>1454</v>
      </c>
      <c r="D162" s="149">
        <v>0.57999999999999996</v>
      </c>
    </row>
    <row r="163" spans="1:4" ht="14.1" customHeight="1">
      <c r="A163" s="14">
        <f t="shared" si="3"/>
        <v>159</v>
      </c>
      <c r="B163" s="15" t="s">
        <v>403</v>
      </c>
      <c r="C163" s="149" t="s">
        <v>1454</v>
      </c>
      <c r="D163" s="149">
        <v>0.55000000000000004</v>
      </c>
    </row>
    <row r="164" spans="1:4" ht="14.1" customHeight="1">
      <c r="A164" s="14">
        <f t="shared" si="3"/>
        <v>160</v>
      </c>
      <c r="B164" s="15" t="s">
        <v>404</v>
      </c>
      <c r="C164" s="149" t="s">
        <v>1454</v>
      </c>
      <c r="D164" s="149">
        <v>0.55000000000000004</v>
      </c>
    </row>
    <row r="165" spans="1:4" ht="14.1" customHeight="1">
      <c r="A165" s="14">
        <f t="shared" si="3"/>
        <v>161</v>
      </c>
      <c r="B165" s="15" t="s">
        <v>405</v>
      </c>
      <c r="C165" s="149" t="s">
        <v>1454</v>
      </c>
      <c r="D165" s="149">
        <v>0.52</v>
      </c>
    </row>
    <row r="166" spans="1:4" ht="14.1" customHeight="1">
      <c r="A166" s="14">
        <f t="shared" si="3"/>
        <v>162</v>
      </c>
      <c r="B166" s="15" t="s">
        <v>406</v>
      </c>
      <c r="C166" s="149" t="s">
        <v>1454</v>
      </c>
      <c r="D166" s="149">
        <v>0.5</v>
      </c>
    </row>
    <row r="167" spans="1:4" ht="14.1" customHeight="1">
      <c r="A167" s="14">
        <f t="shared" si="3"/>
        <v>163</v>
      </c>
      <c r="B167" s="15" t="s">
        <v>407</v>
      </c>
      <c r="C167" s="149" t="s">
        <v>1454</v>
      </c>
      <c r="D167" s="149">
        <v>0.63</v>
      </c>
    </row>
    <row r="168" spans="1:4" ht="14.1" customHeight="1">
      <c r="A168" s="14">
        <f t="shared" si="3"/>
        <v>164</v>
      </c>
      <c r="B168" s="15" t="s">
        <v>408</v>
      </c>
      <c r="C168" s="149" t="s">
        <v>1454</v>
      </c>
      <c r="D168" s="149">
        <v>0.6</v>
      </c>
    </row>
    <row r="169" spans="1:4" ht="14.1" customHeight="1">
      <c r="A169" s="14">
        <f t="shared" si="3"/>
        <v>165</v>
      </c>
      <c r="B169" s="15" t="s">
        <v>409</v>
      </c>
      <c r="C169" s="149" t="s">
        <v>1454</v>
      </c>
      <c r="D169" s="149">
        <v>0.56999999999999995</v>
      </c>
    </row>
    <row r="170" spans="1:4" ht="14.1" customHeight="1">
      <c r="A170" s="14">
        <f t="shared" si="3"/>
        <v>166</v>
      </c>
      <c r="B170" s="15" t="s">
        <v>410</v>
      </c>
      <c r="C170" s="149" t="s">
        <v>1454</v>
      </c>
      <c r="D170" s="149">
        <v>0.54</v>
      </c>
    </row>
    <row r="171" spans="1:4" ht="14.1" customHeight="1">
      <c r="A171" s="14">
        <f t="shared" si="3"/>
        <v>167</v>
      </c>
      <c r="B171" s="15" t="s">
        <v>411</v>
      </c>
      <c r="C171" s="149" t="s">
        <v>1454</v>
      </c>
      <c r="D171" s="149">
        <v>0.51</v>
      </c>
    </row>
    <row r="172" spans="1:4" ht="14.1" customHeight="1">
      <c r="A172" s="14">
        <f t="shared" si="3"/>
        <v>168</v>
      </c>
      <c r="B172" s="15" t="s">
        <v>412</v>
      </c>
      <c r="C172" s="149" t="s">
        <v>1454</v>
      </c>
      <c r="D172" s="149">
        <v>0.53</v>
      </c>
    </row>
    <row r="173" spans="1:4" ht="14.1" customHeight="1">
      <c r="A173" s="14">
        <f t="shared" si="3"/>
        <v>169</v>
      </c>
      <c r="B173" s="15" t="s">
        <v>413</v>
      </c>
      <c r="C173" s="149" t="s">
        <v>1454</v>
      </c>
      <c r="D173" s="149">
        <v>0.49</v>
      </c>
    </row>
    <row r="174" spans="1:4" ht="14.1" customHeight="1">
      <c r="A174" s="14">
        <f t="shared" si="3"/>
        <v>170</v>
      </c>
      <c r="B174" s="15" t="s">
        <v>414</v>
      </c>
      <c r="C174" s="149" t="s">
        <v>1454</v>
      </c>
      <c r="D174" s="149">
        <v>0.47</v>
      </c>
    </row>
    <row r="175" spans="1:4" ht="14.1" customHeight="1">
      <c r="A175" s="14">
        <f t="shared" si="3"/>
        <v>171</v>
      </c>
      <c r="B175" s="15" t="s">
        <v>415</v>
      </c>
      <c r="C175" s="149" t="s">
        <v>1454</v>
      </c>
      <c r="D175" s="149">
        <v>0.6</v>
      </c>
    </row>
    <row r="176" spans="1:4" ht="14.1" customHeight="1">
      <c r="A176" s="14">
        <f t="shared" si="3"/>
        <v>172</v>
      </c>
      <c r="B176" s="15" t="s">
        <v>416</v>
      </c>
      <c r="C176" s="149" t="s">
        <v>1454</v>
      </c>
      <c r="D176" s="149">
        <v>0.57999999999999996</v>
      </c>
    </row>
    <row r="177" spans="1:4" ht="14.1" customHeight="1">
      <c r="A177" s="14">
        <f t="shared" si="3"/>
        <v>173</v>
      </c>
      <c r="B177" s="15" t="s">
        <v>417</v>
      </c>
      <c r="C177" s="149" t="s">
        <v>1454</v>
      </c>
      <c r="D177" s="149">
        <v>0.53</v>
      </c>
    </row>
    <row r="178" spans="1:4" ht="14.1" customHeight="1">
      <c r="A178" s="14">
        <f t="shared" si="3"/>
        <v>174</v>
      </c>
      <c r="B178" s="15" t="s">
        <v>418</v>
      </c>
      <c r="C178" s="149" t="s">
        <v>1454</v>
      </c>
      <c r="D178" s="149">
        <v>0.5</v>
      </c>
    </row>
    <row r="179" spans="1:4" ht="14.1" customHeight="1">
      <c r="A179" s="14">
        <f t="shared" si="3"/>
        <v>175</v>
      </c>
      <c r="B179" s="15" t="s">
        <v>419</v>
      </c>
      <c r="C179" s="149" t="s">
        <v>1454</v>
      </c>
      <c r="D179" s="149">
        <v>0.47</v>
      </c>
    </row>
    <row r="180" spans="1:4" ht="14.1" customHeight="1">
      <c r="A180" s="14">
        <f t="shared" si="3"/>
        <v>176</v>
      </c>
      <c r="B180" s="15" t="s">
        <v>420</v>
      </c>
      <c r="C180" s="149" t="s">
        <v>1454</v>
      </c>
      <c r="D180" s="149">
        <v>0.5</v>
      </c>
    </row>
    <row r="181" spans="1:4" ht="14.1" customHeight="1">
      <c r="A181" s="14">
        <f t="shared" si="3"/>
        <v>177</v>
      </c>
      <c r="B181" s="15" t="s">
        <v>421</v>
      </c>
      <c r="C181" s="149" t="s">
        <v>1454</v>
      </c>
      <c r="D181" s="149">
        <v>0.46</v>
      </c>
    </row>
    <row r="182" spans="1:4" ht="14.1" customHeight="1">
      <c r="A182" s="14">
        <f t="shared" si="3"/>
        <v>178</v>
      </c>
      <c r="B182" s="15" t="s">
        <v>422</v>
      </c>
      <c r="C182" s="149" t="s">
        <v>1454</v>
      </c>
      <c r="D182" s="149">
        <v>0.43</v>
      </c>
    </row>
    <row r="183" spans="1:4" ht="14.1" customHeight="1">
      <c r="A183" s="14">
        <f t="shared" si="3"/>
        <v>179</v>
      </c>
      <c r="B183" s="15" t="s">
        <v>423</v>
      </c>
      <c r="C183" s="149" t="s">
        <v>1454</v>
      </c>
      <c r="D183" s="149">
        <v>0.52</v>
      </c>
    </row>
    <row r="184" spans="1:4" ht="14.1" customHeight="1">
      <c r="A184" s="14">
        <f t="shared" si="3"/>
        <v>180</v>
      </c>
      <c r="B184" s="15" t="s">
        <v>424</v>
      </c>
      <c r="C184" s="149" t="s">
        <v>1454</v>
      </c>
      <c r="D184" s="149">
        <v>0.49</v>
      </c>
    </row>
    <row r="185" spans="1:4" ht="14.1" customHeight="1">
      <c r="A185" s="14">
        <f t="shared" si="3"/>
        <v>181</v>
      </c>
      <c r="B185" s="15" t="s">
        <v>425</v>
      </c>
      <c r="C185" s="149" t="s">
        <v>1454</v>
      </c>
      <c r="D185" s="149">
        <v>0.5</v>
      </c>
    </row>
    <row r="186" spans="1:4" ht="14.1" customHeight="1">
      <c r="A186" s="14">
        <f t="shared" si="3"/>
        <v>182</v>
      </c>
      <c r="B186" s="15" t="s">
        <v>426</v>
      </c>
      <c r="C186" s="149" t="s">
        <v>1454</v>
      </c>
      <c r="D186" s="149">
        <v>0.48</v>
      </c>
    </row>
    <row r="187" spans="1:4" ht="14.1" customHeight="1">
      <c r="A187" s="14">
        <f t="shared" si="3"/>
        <v>183</v>
      </c>
      <c r="B187" s="15" t="s">
        <v>427</v>
      </c>
      <c r="C187" s="149" t="s">
        <v>1454</v>
      </c>
      <c r="D187" s="149">
        <v>0.47</v>
      </c>
    </row>
    <row r="188" spans="1:4" ht="14.1" customHeight="1">
      <c r="A188" s="14">
        <f t="shared" si="3"/>
        <v>184</v>
      </c>
      <c r="B188" s="15" t="s">
        <v>428</v>
      </c>
      <c r="C188" s="149" t="s">
        <v>1454</v>
      </c>
      <c r="D188" s="149">
        <v>0.46</v>
      </c>
    </row>
    <row r="189" spans="1:4" ht="14.1" customHeight="1">
      <c r="A189" s="14">
        <f t="shared" si="3"/>
        <v>185</v>
      </c>
      <c r="B189" s="15" t="s">
        <v>429</v>
      </c>
      <c r="C189" s="149" t="s">
        <v>1454</v>
      </c>
      <c r="D189" s="149">
        <v>0.43</v>
      </c>
    </row>
    <row r="190" spans="1:4" ht="14.1" customHeight="1">
      <c r="A190" s="14">
        <f t="shared" si="3"/>
        <v>186</v>
      </c>
      <c r="B190" s="15" t="s">
        <v>430</v>
      </c>
      <c r="C190" s="149" t="s">
        <v>1454</v>
      </c>
      <c r="D190" s="149">
        <v>0.42</v>
      </c>
    </row>
    <row r="191" spans="1:4" ht="14.1" customHeight="1">
      <c r="A191" s="14">
        <f t="shared" si="3"/>
        <v>187</v>
      </c>
      <c r="B191" s="15" t="s">
        <v>431</v>
      </c>
      <c r="C191" s="149" t="s">
        <v>1454</v>
      </c>
      <c r="D191" s="149">
        <v>0.46</v>
      </c>
    </row>
    <row r="192" spans="1:4" ht="14.1" customHeight="1">
      <c r="A192" s="14">
        <f t="shared" si="3"/>
        <v>188</v>
      </c>
      <c r="B192" s="15" t="s">
        <v>432</v>
      </c>
      <c r="C192" s="149" t="s">
        <v>1454</v>
      </c>
      <c r="D192" s="149">
        <v>0.45</v>
      </c>
    </row>
    <row r="193" spans="1:4" ht="14.1" customHeight="1">
      <c r="A193" s="14">
        <f t="shared" si="3"/>
        <v>189</v>
      </c>
      <c r="B193" s="15" t="s">
        <v>433</v>
      </c>
      <c r="C193" s="149" t="s">
        <v>1454</v>
      </c>
      <c r="D193" s="149">
        <v>0.43</v>
      </c>
    </row>
    <row r="194" spans="1:4" ht="14.1" customHeight="1">
      <c r="A194" s="14">
        <f t="shared" si="3"/>
        <v>190</v>
      </c>
      <c r="B194" s="15" t="s">
        <v>434</v>
      </c>
      <c r="C194" s="149" t="s">
        <v>1454</v>
      </c>
      <c r="D194" s="149">
        <v>0.41</v>
      </c>
    </row>
    <row r="195" spans="1:4" ht="14.1" customHeight="1">
      <c r="A195" s="14">
        <f t="shared" si="3"/>
        <v>191</v>
      </c>
      <c r="B195" s="15" t="s">
        <v>435</v>
      </c>
      <c r="C195" s="149" t="s">
        <v>1454</v>
      </c>
      <c r="D195" s="149">
        <v>0.39</v>
      </c>
    </row>
    <row r="196" spans="1:4" ht="14.1" customHeight="1">
      <c r="A196" s="14">
        <f t="shared" si="3"/>
        <v>192</v>
      </c>
      <c r="B196" s="15" t="s">
        <v>1534</v>
      </c>
      <c r="C196" s="149" t="s">
        <v>1454</v>
      </c>
      <c r="D196" s="149">
        <v>0.41</v>
      </c>
    </row>
    <row r="197" spans="1:4" ht="14.1" customHeight="1">
      <c r="A197" s="14">
        <f t="shared" si="3"/>
        <v>193</v>
      </c>
      <c r="B197" s="15" t="s">
        <v>1535</v>
      </c>
      <c r="C197" s="149" t="s">
        <v>1454</v>
      </c>
      <c r="D197" s="149">
        <v>0.38</v>
      </c>
    </row>
    <row r="198" spans="1:4" ht="14.1" customHeight="1">
      <c r="A198" s="14">
        <f t="shared" si="3"/>
        <v>194</v>
      </c>
      <c r="B198" s="15" t="s">
        <v>1536</v>
      </c>
      <c r="C198" s="149" t="s">
        <v>1454</v>
      </c>
      <c r="D198" s="149">
        <v>0.37</v>
      </c>
    </row>
    <row r="199" spans="1:4" ht="14.1" customHeight="1">
      <c r="A199" s="14">
        <f t="shared" si="3"/>
        <v>195</v>
      </c>
      <c r="B199" s="15" t="s">
        <v>1537</v>
      </c>
      <c r="C199" s="149" t="s">
        <v>1454</v>
      </c>
      <c r="D199" s="149">
        <v>0.82</v>
      </c>
    </row>
    <row r="200" spans="1:4" ht="14.1" customHeight="1">
      <c r="A200" s="14">
        <f t="shared" si="3"/>
        <v>196</v>
      </c>
      <c r="B200" s="15" t="s">
        <v>1538</v>
      </c>
      <c r="C200" s="149" t="s">
        <v>1454</v>
      </c>
      <c r="D200" s="149">
        <v>0.77</v>
      </c>
    </row>
    <row r="201" spans="1:4" ht="14.1" customHeight="1">
      <c r="A201" s="14">
        <f t="shared" si="3"/>
        <v>197</v>
      </c>
      <c r="B201" s="15" t="s">
        <v>1539</v>
      </c>
      <c r="C201" s="149" t="s">
        <v>1454</v>
      </c>
      <c r="D201" s="149">
        <v>0.76</v>
      </c>
    </row>
    <row r="202" spans="1:4" ht="14.1" customHeight="1">
      <c r="A202" s="14">
        <f t="shared" si="3"/>
        <v>198</v>
      </c>
      <c r="B202" s="15" t="s">
        <v>1540</v>
      </c>
      <c r="C202" s="149" t="s">
        <v>1454</v>
      </c>
      <c r="D202" s="149">
        <v>0.73</v>
      </c>
    </row>
    <row r="203" spans="1:4" ht="14.1" customHeight="1">
      <c r="A203" s="14">
        <f t="shared" si="3"/>
        <v>199</v>
      </c>
      <c r="B203" s="15" t="s">
        <v>1541</v>
      </c>
      <c r="C203" s="149" t="s">
        <v>1454</v>
      </c>
      <c r="D203" s="149">
        <v>0.7</v>
      </c>
    </row>
    <row r="204" spans="1:4" ht="14.1" customHeight="1">
      <c r="A204" s="14">
        <f t="shared" si="3"/>
        <v>200</v>
      </c>
      <c r="B204" s="15" t="s">
        <v>1542</v>
      </c>
      <c r="C204" s="149" t="s">
        <v>1454</v>
      </c>
      <c r="D204" s="149">
        <v>0.7</v>
      </c>
    </row>
    <row r="205" spans="1:4" ht="14.1" customHeight="1">
      <c r="A205" s="14">
        <f t="shared" si="3"/>
        <v>201</v>
      </c>
      <c r="B205" s="15" t="s">
        <v>1543</v>
      </c>
      <c r="C205" s="149" t="s">
        <v>1454</v>
      </c>
      <c r="D205" s="149">
        <v>0.66</v>
      </c>
    </row>
    <row r="206" spans="1:4" ht="14.1" customHeight="1">
      <c r="A206" s="14">
        <f t="shared" si="3"/>
        <v>202</v>
      </c>
      <c r="B206" s="15" t="s">
        <v>1544</v>
      </c>
      <c r="C206" s="149" t="s">
        <v>1454</v>
      </c>
      <c r="D206" s="149">
        <v>0.64</v>
      </c>
    </row>
    <row r="207" spans="1:4" ht="14.1" customHeight="1">
      <c r="A207" s="14">
        <f t="shared" si="3"/>
        <v>203</v>
      </c>
      <c r="B207" s="15" t="s">
        <v>1545</v>
      </c>
      <c r="C207" s="149" t="s">
        <v>1454</v>
      </c>
      <c r="D207" s="149">
        <v>0.78</v>
      </c>
    </row>
    <row r="208" spans="1:4" ht="14.1" customHeight="1">
      <c r="A208" s="14">
        <f t="shared" si="3"/>
        <v>204</v>
      </c>
      <c r="B208" s="15" t="s">
        <v>1546</v>
      </c>
      <c r="C208" s="149" t="s">
        <v>1454</v>
      </c>
      <c r="D208" s="149">
        <v>0.75</v>
      </c>
    </row>
    <row r="209" spans="1:4" ht="14.1" customHeight="1">
      <c r="A209" s="14">
        <f t="shared" si="3"/>
        <v>205</v>
      </c>
      <c r="B209" s="15" t="s">
        <v>1547</v>
      </c>
      <c r="C209" s="149" t="s">
        <v>1454</v>
      </c>
      <c r="D209" s="149">
        <v>0.72</v>
      </c>
    </row>
    <row r="210" spans="1:4" ht="14.1" customHeight="1">
      <c r="A210" s="14">
        <f t="shared" si="3"/>
        <v>206</v>
      </c>
      <c r="B210" s="15" t="s">
        <v>1548</v>
      </c>
      <c r="C210" s="149" t="s">
        <v>1454</v>
      </c>
      <c r="D210" s="149">
        <v>0.69</v>
      </c>
    </row>
    <row r="211" spans="1:4" ht="14.1" customHeight="1">
      <c r="A211" s="14">
        <f t="shared" si="3"/>
        <v>207</v>
      </c>
      <c r="B211" s="15" t="s">
        <v>1549</v>
      </c>
      <c r="C211" s="149" t="s">
        <v>1454</v>
      </c>
      <c r="D211" s="149">
        <v>0.66</v>
      </c>
    </row>
    <row r="212" spans="1:4" ht="14.1" customHeight="1">
      <c r="A212" s="14">
        <f t="shared" si="3"/>
        <v>208</v>
      </c>
      <c r="B212" s="15" t="s">
        <v>1550</v>
      </c>
      <c r="C212" s="149" t="s">
        <v>1454</v>
      </c>
      <c r="D212" s="149">
        <v>0.68</v>
      </c>
    </row>
    <row r="213" spans="1:4" ht="14.1" customHeight="1">
      <c r="A213" s="14">
        <f t="shared" si="3"/>
        <v>209</v>
      </c>
      <c r="B213" s="15" t="s">
        <v>1551</v>
      </c>
      <c r="C213" s="149" t="s">
        <v>1454</v>
      </c>
      <c r="D213" s="149">
        <v>0.63</v>
      </c>
    </row>
    <row r="214" spans="1:4" ht="14.1" customHeight="1">
      <c r="A214" s="14">
        <f t="shared" si="3"/>
        <v>210</v>
      </c>
      <c r="B214" s="15" t="s">
        <v>1552</v>
      </c>
      <c r="C214" s="149" t="s">
        <v>1454</v>
      </c>
      <c r="D214" s="149">
        <v>0.61</v>
      </c>
    </row>
    <row r="215" spans="1:4" ht="14.1" customHeight="1">
      <c r="A215" s="14">
        <f t="shared" si="3"/>
        <v>211</v>
      </c>
      <c r="B215" s="15" t="s">
        <v>1553</v>
      </c>
      <c r="C215" s="149" t="s">
        <v>1454</v>
      </c>
      <c r="D215" s="149">
        <v>0.75</v>
      </c>
    </row>
    <row r="216" spans="1:4" ht="14.1" customHeight="1">
      <c r="A216" s="14">
        <f t="shared" si="3"/>
        <v>212</v>
      </c>
      <c r="B216" s="15" t="s">
        <v>1554</v>
      </c>
      <c r="C216" s="149" t="s">
        <v>1454</v>
      </c>
      <c r="D216" s="149">
        <v>0.72</v>
      </c>
    </row>
    <row r="217" spans="1:4" ht="14.1" customHeight="1">
      <c r="A217" s="14">
        <f t="shared" si="3"/>
        <v>213</v>
      </c>
      <c r="B217" s="15" t="s">
        <v>1555</v>
      </c>
      <c r="C217" s="149" t="s">
        <v>1454</v>
      </c>
      <c r="D217" s="149">
        <v>0.68</v>
      </c>
    </row>
    <row r="218" spans="1:4" ht="14.1" customHeight="1">
      <c r="A218" s="14">
        <f t="shared" si="3"/>
        <v>214</v>
      </c>
      <c r="B218" s="15" t="s">
        <v>1556</v>
      </c>
      <c r="C218" s="149" t="s">
        <v>1454</v>
      </c>
      <c r="D218" s="149">
        <v>0.64</v>
      </c>
    </row>
    <row r="219" spans="1:4" ht="14.1" customHeight="1">
      <c r="A219" s="14">
        <f t="shared" si="3"/>
        <v>215</v>
      </c>
      <c r="B219" s="15" t="s">
        <v>1557</v>
      </c>
      <c r="C219" s="149" t="s">
        <v>1454</v>
      </c>
      <c r="D219" s="149">
        <v>0.61</v>
      </c>
    </row>
    <row r="220" spans="1:4" ht="14.1" customHeight="1">
      <c r="A220" s="14">
        <f t="shared" si="3"/>
        <v>216</v>
      </c>
      <c r="B220" s="15" t="s">
        <v>1558</v>
      </c>
      <c r="C220" s="149" t="s">
        <v>1454</v>
      </c>
      <c r="D220" s="149">
        <v>0.65</v>
      </c>
    </row>
    <row r="221" spans="1:4" ht="14.1" customHeight="1">
      <c r="A221" s="14">
        <f t="shared" si="3"/>
        <v>217</v>
      </c>
      <c r="B221" s="15" t="s">
        <v>1559</v>
      </c>
      <c r="C221" s="149" t="s">
        <v>1454</v>
      </c>
      <c r="D221" s="149">
        <v>0.6</v>
      </c>
    </row>
    <row r="222" spans="1:4" ht="14.1" customHeight="1">
      <c r="A222" s="14">
        <f t="shared" ref="A222:A286" si="4">A221+1</f>
        <v>218</v>
      </c>
      <c r="B222" s="15" t="s">
        <v>1560</v>
      </c>
      <c r="C222" s="149" t="s">
        <v>1454</v>
      </c>
      <c r="D222" s="149">
        <v>0.57999999999999996</v>
      </c>
    </row>
    <row r="223" spans="1:4" ht="14.1" customHeight="1">
      <c r="A223" s="14">
        <f t="shared" si="4"/>
        <v>219</v>
      </c>
      <c r="B223" s="15" t="s">
        <v>1561</v>
      </c>
      <c r="C223" s="149" t="s">
        <v>1454</v>
      </c>
      <c r="D223" s="149">
        <v>0.66</v>
      </c>
    </row>
    <row r="224" spans="1:4" ht="14.1" customHeight="1">
      <c r="A224" s="14">
        <f t="shared" si="4"/>
        <v>220</v>
      </c>
      <c r="B224" s="15" t="s">
        <v>1562</v>
      </c>
      <c r="C224" s="149" t="s">
        <v>1454</v>
      </c>
      <c r="D224" s="149">
        <v>0.63</v>
      </c>
    </row>
    <row r="225" spans="1:6" ht="14.1" customHeight="1">
      <c r="A225" s="14">
        <f t="shared" si="4"/>
        <v>221</v>
      </c>
      <c r="B225" s="15" t="s">
        <v>1563</v>
      </c>
      <c r="C225" s="149" t="s">
        <v>1454</v>
      </c>
      <c r="D225" s="149">
        <v>0.64</v>
      </c>
    </row>
    <row r="226" spans="1:6" ht="14.1" customHeight="1">
      <c r="A226" s="14">
        <f t="shared" si="4"/>
        <v>222</v>
      </c>
      <c r="B226" s="15" t="s">
        <v>1564</v>
      </c>
      <c r="C226" s="149" t="s">
        <v>1454</v>
      </c>
      <c r="D226" s="149">
        <v>0.62</v>
      </c>
    </row>
    <row r="227" spans="1:6" ht="14.1" customHeight="1">
      <c r="A227" s="14">
        <f t="shared" si="4"/>
        <v>223</v>
      </c>
      <c r="B227" s="15" t="s">
        <v>1565</v>
      </c>
      <c r="C227" s="149" t="s">
        <v>1454</v>
      </c>
      <c r="D227" s="149">
        <v>0.61</v>
      </c>
    </row>
    <row r="228" spans="1:6" ht="14.1" customHeight="1">
      <c r="A228" s="14">
        <f t="shared" si="4"/>
        <v>224</v>
      </c>
      <c r="B228" s="15" t="s">
        <v>1566</v>
      </c>
      <c r="C228" s="149" t="s">
        <v>1454</v>
      </c>
      <c r="D228" s="149">
        <v>0.6</v>
      </c>
    </row>
    <row r="229" spans="1:6" ht="14.1" customHeight="1">
      <c r="A229" s="14">
        <f t="shared" si="4"/>
        <v>225</v>
      </c>
      <c r="B229" s="15" t="s">
        <v>1567</v>
      </c>
      <c r="C229" s="149" t="s">
        <v>1454</v>
      </c>
      <c r="D229" s="149">
        <v>0.57999999999999996</v>
      </c>
    </row>
    <row r="230" spans="1:6" ht="14.1" customHeight="1">
      <c r="A230" s="14">
        <f t="shared" si="4"/>
        <v>226</v>
      </c>
      <c r="B230" s="15" t="s">
        <v>1568</v>
      </c>
      <c r="C230" s="149" t="s">
        <v>1454</v>
      </c>
      <c r="D230" s="149">
        <v>0.56999999999999995</v>
      </c>
    </row>
    <row r="231" spans="1:6" ht="14.1" customHeight="1">
      <c r="A231" s="14">
        <f t="shared" si="4"/>
        <v>227</v>
      </c>
      <c r="B231" s="15" t="s">
        <v>1569</v>
      </c>
      <c r="C231" s="149" t="s">
        <v>1454</v>
      </c>
      <c r="D231" s="149">
        <v>0.61</v>
      </c>
    </row>
    <row r="232" spans="1:6" ht="14.1" customHeight="1">
      <c r="A232" s="14">
        <f t="shared" si="4"/>
        <v>228</v>
      </c>
      <c r="B232" s="15" t="s">
        <v>1570</v>
      </c>
      <c r="C232" s="149" t="s">
        <v>1454</v>
      </c>
      <c r="D232" s="149">
        <v>0.59</v>
      </c>
    </row>
    <row r="233" spans="1:6" ht="14.1" customHeight="1">
      <c r="A233" s="14">
        <f t="shared" si="4"/>
        <v>229</v>
      </c>
      <c r="B233" s="15" t="s">
        <v>1571</v>
      </c>
      <c r="C233" s="149" t="s">
        <v>1454</v>
      </c>
      <c r="D233" s="149">
        <v>0.57999999999999996</v>
      </c>
    </row>
    <row r="234" spans="1:6" ht="14.1" customHeight="1">
      <c r="A234" s="14">
        <f t="shared" si="4"/>
        <v>230</v>
      </c>
      <c r="B234" s="15" t="s">
        <v>1572</v>
      </c>
      <c r="C234" s="149" t="s">
        <v>1454</v>
      </c>
      <c r="D234" s="149">
        <v>0.55000000000000004</v>
      </c>
    </row>
    <row r="235" spans="1:6" ht="14.1" customHeight="1">
      <c r="A235" s="14">
        <f t="shared" si="4"/>
        <v>231</v>
      </c>
      <c r="B235" s="15" t="s">
        <v>1573</v>
      </c>
      <c r="C235" s="149" t="s">
        <v>1454</v>
      </c>
      <c r="D235" s="149">
        <v>0.54</v>
      </c>
    </row>
    <row r="236" spans="1:6" ht="14.1" customHeight="1">
      <c r="A236" s="14">
        <f t="shared" si="4"/>
        <v>232</v>
      </c>
      <c r="B236" s="15" t="s">
        <v>1574</v>
      </c>
      <c r="C236" s="149" t="s">
        <v>1454</v>
      </c>
      <c r="D236" s="149">
        <v>0.55000000000000004</v>
      </c>
    </row>
    <row r="237" spans="1:6" ht="14.1" customHeight="1">
      <c r="A237" s="14">
        <f t="shared" si="4"/>
        <v>233</v>
      </c>
      <c r="B237" s="15" t="s">
        <v>1575</v>
      </c>
      <c r="C237" s="149" t="s">
        <v>1454</v>
      </c>
      <c r="D237" s="149">
        <v>0.52</v>
      </c>
    </row>
    <row r="238" spans="1:6" ht="14.1" customHeight="1">
      <c r="A238" s="14">
        <f t="shared" si="4"/>
        <v>234</v>
      </c>
      <c r="B238" s="15" t="s">
        <v>1576</v>
      </c>
      <c r="C238" s="149" t="s">
        <v>1454</v>
      </c>
      <c r="D238" s="149">
        <v>0.51</v>
      </c>
    </row>
    <row r="239" spans="1:6" ht="35.25" customHeight="1">
      <c r="A239" s="14">
        <f t="shared" si="4"/>
        <v>235</v>
      </c>
      <c r="B239" s="163" t="s">
        <v>2192</v>
      </c>
      <c r="D239" s="425" t="s">
        <v>2428</v>
      </c>
      <c r="E239" s="425" t="s">
        <v>2353</v>
      </c>
      <c r="F239" s="1055" t="str">
        <f>'Flat-Vaulted Ceilings'!$F$339</f>
        <v>Your entries appear at bottom of drowdown menus on "Group R" tab</v>
      </c>
    </row>
    <row r="240" spans="1:6" ht="14.1" customHeight="1">
      <c r="A240" s="14">
        <f t="shared" si="4"/>
        <v>236</v>
      </c>
      <c r="B240" s="39" t="s">
        <v>2705</v>
      </c>
      <c r="C240" s="16" t="s">
        <v>1679</v>
      </c>
      <c r="D240" s="19">
        <v>0.34</v>
      </c>
      <c r="E240" s="426" t="s">
        <v>2706</v>
      </c>
      <c r="F240" s="203" t="str">
        <f t="shared" ref="F240:F303" si="5">IF(AND(B241&lt;&gt;"",B240=""),"Don't skip lines",IF(AND(D240="",B240&lt;&gt;""),"Enter U-value",IF(AND(D240&lt;&gt;"",B240=""),"Enter Description","")))</f>
        <v/>
      </c>
    </row>
    <row r="241" spans="1:6" ht="14.1" customHeight="1">
      <c r="A241" s="14">
        <f t="shared" si="4"/>
        <v>237</v>
      </c>
      <c r="B241" s="39" t="s">
        <v>2785</v>
      </c>
      <c r="C241" s="16" t="s">
        <v>1679</v>
      </c>
      <c r="D241" s="19">
        <v>0.28999999999999998</v>
      </c>
      <c r="E241" s="426"/>
      <c r="F241" s="203" t="str">
        <f t="shared" si="5"/>
        <v/>
      </c>
    </row>
    <row r="242" spans="1:6" ht="14.1" customHeight="1">
      <c r="A242" s="14">
        <f t="shared" si="4"/>
        <v>238</v>
      </c>
      <c r="B242" s="39" t="s">
        <v>2819</v>
      </c>
      <c r="C242" s="16" t="s">
        <v>1679</v>
      </c>
      <c r="D242" s="19">
        <v>1</v>
      </c>
      <c r="E242" s="426"/>
      <c r="F242" s="203" t="str">
        <f t="shared" si="5"/>
        <v/>
      </c>
    </row>
    <row r="243" spans="1:6" ht="14.1" customHeight="1">
      <c r="A243" s="14">
        <f t="shared" si="4"/>
        <v>239</v>
      </c>
      <c r="B243" s="39" t="s">
        <v>2847</v>
      </c>
      <c r="C243" s="16" t="s">
        <v>1679</v>
      </c>
      <c r="D243" s="19">
        <v>0.28000000000000003</v>
      </c>
      <c r="E243" s="426"/>
      <c r="F243" s="203" t="str">
        <f t="shared" si="5"/>
        <v/>
      </c>
    </row>
    <row r="244" spans="1:6" ht="14.1" customHeight="1">
      <c r="A244" s="14">
        <f t="shared" si="4"/>
        <v>240</v>
      </c>
      <c r="B244" s="39" t="s">
        <v>2848</v>
      </c>
      <c r="C244" s="16" t="s">
        <v>1679</v>
      </c>
      <c r="D244" s="19">
        <v>0.27</v>
      </c>
      <c r="E244" s="426"/>
      <c r="F244" s="203" t="str">
        <f t="shared" si="5"/>
        <v/>
      </c>
    </row>
    <row r="245" spans="1:6" ht="14.1" customHeight="1">
      <c r="A245" s="14">
        <f t="shared" si="4"/>
        <v>241</v>
      </c>
      <c r="B245" s="39"/>
      <c r="C245" s="16" t="s">
        <v>1679</v>
      </c>
      <c r="D245" s="19"/>
      <c r="E245" s="426"/>
      <c r="F245" s="203" t="str">
        <f t="shared" si="5"/>
        <v/>
      </c>
    </row>
    <row r="246" spans="1:6" ht="14.1" customHeight="1">
      <c r="A246" s="14">
        <f t="shared" si="4"/>
        <v>242</v>
      </c>
      <c r="B246" s="39"/>
      <c r="C246" s="16" t="s">
        <v>1679</v>
      </c>
      <c r="D246" s="19"/>
      <c r="E246" s="426"/>
      <c r="F246" s="203" t="str">
        <f t="shared" si="5"/>
        <v/>
      </c>
    </row>
    <row r="247" spans="1:6" ht="14.1" customHeight="1">
      <c r="A247" s="14">
        <f t="shared" si="4"/>
        <v>243</v>
      </c>
      <c r="B247" s="39"/>
      <c r="C247" s="16" t="s">
        <v>1679</v>
      </c>
      <c r="D247" s="19"/>
      <c r="E247" s="426"/>
      <c r="F247" s="203" t="str">
        <f t="shared" si="5"/>
        <v/>
      </c>
    </row>
    <row r="248" spans="1:6" ht="14.1" customHeight="1">
      <c r="A248" s="14">
        <f t="shared" si="4"/>
        <v>244</v>
      </c>
      <c r="B248" s="39"/>
      <c r="C248" s="16" t="s">
        <v>1679</v>
      </c>
      <c r="D248" s="19"/>
      <c r="E248" s="426"/>
      <c r="F248" s="203" t="str">
        <f t="shared" si="5"/>
        <v/>
      </c>
    </row>
    <row r="249" spans="1:6" ht="14.1" customHeight="1">
      <c r="A249" s="14">
        <f t="shared" si="4"/>
        <v>245</v>
      </c>
      <c r="B249" s="39"/>
      <c r="C249" s="16" t="s">
        <v>1679</v>
      </c>
      <c r="D249" s="19"/>
      <c r="E249" s="426"/>
      <c r="F249" s="203" t="str">
        <f t="shared" si="5"/>
        <v/>
      </c>
    </row>
    <row r="250" spans="1:6" ht="14.1" customHeight="1">
      <c r="A250" s="14">
        <f t="shared" si="4"/>
        <v>246</v>
      </c>
      <c r="B250" s="39"/>
      <c r="C250" s="16" t="s">
        <v>1679</v>
      </c>
      <c r="D250" s="19"/>
      <c r="E250" s="426"/>
      <c r="F250" s="203" t="str">
        <f t="shared" si="5"/>
        <v/>
      </c>
    </row>
    <row r="251" spans="1:6" ht="14.1" customHeight="1">
      <c r="A251" s="14">
        <f t="shared" si="4"/>
        <v>247</v>
      </c>
      <c r="B251" s="39"/>
      <c r="C251" s="16" t="s">
        <v>1679</v>
      </c>
      <c r="D251" s="19"/>
      <c r="E251" s="426"/>
      <c r="F251" s="203" t="str">
        <f t="shared" si="5"/>
        <v/>
      </c>
    </row>
    <row r="252" spans="1:6" ht="14.1" customHeight="1">
      <c r="A252" s="14">
        <f t="shared" si="4"/>
        <v>248</v>
      </c>
      <c r="B252" s="39"/>
      <c r="C252" s="16" t="s">
        <v>1679</v>
      </c>
      <c r="D252" s="19"/>
      <c r="E252" s="426"/>
      <c r="F252" s="203" t="str">
        <f t="shared" si="5"/>
        <v/>
      </c>
    </row>
    <row r="253" spans="1:6" ht="14.1" customHeight="1">
      <c r="A253" s="14">
        <f t="shared" si="4"/>
        <v>249</v>
      </c>
      <c r="B253" s="39"/>
      <c r="C253" s="16" t="s">
        <v>1679</v>
      </c>
      <c r="D253" s="19"/>
      <c r="E253" s="426"/>
      <c r="F253" s="203" t="str">
        <f t="shared" si="5"/>
        <v/>
      </c>
    </row>
    <row r="254" spans="1:6" ht="14.1" customHeight="1">
      <c r="A254" s="14">
        <f t="shared" si="4"/>
        <v>250</v>
      </c>
      <c r="B254" s="18"/>
      <c r="C254" s="16" t="s">
        <v>1679</v>
      </c>
      <c r="D254" s="19"/>
      <c r="E254" s="426"/>
      <c r="F254" s="203" t="str">
        <f t="shared" si="5"/>
        <v/>
      </c>
    </row>
    <row r="255" spans="1:6" ht="14.1" customHeight="1">
      <c r="A255" s="14">
        <f t="shared" si="4"/>
        <v>251</v>
      </c>
      <c r="B255" s="18"/>
      <c r="C255" s="16" t="s">
        <v>1679</v>
      </c>
      <c r="D255" s="19"/>
      <c r="E255" s="426"/>
      <c r="F255" s="203" t="str">
        <f t="shared" si="5"/>
        <v/>
      </c>
    </row>
    <row r="256" spans="1:6" ht="14.1" customHeight="1">
      <c r="A256" s="14">
        <f t="shared" si="4"/>
        <v>252</v>
      </c>
      <c r="B256" s="18"/>
      <c r="C256" s="16" t="s">
        <v>1679</v>
      </c>
      <c r="D256" s="19"/>
      <c r="E256" s="426"/>
      <c r="F256" s="203" t="str">
        <f t="shared" si="5"/>
        <v/>
      </c>
    </row>
    <row r="257" spans="1:6" ht="14.1" customHeight="1">
      <c r="A257" s="14">
        <f t="shared" si="4"/>
        <v>253</v>
      </c>
      <c r="B257" s="18"/>
      <c r="C257" s="16" t="s">
        <v>1679</v>
      </c>
      <c r="D257" s="19"/>
      <c r="E257" s="426"/>
      <c r="F257" s="203" t="str">
        <f t="shared" si="5"/>
        <v/>
      </c>
    </row>
    <row r="258" spans="1:6" ht="14.1" customHeight="1">
      <c r="A258" s="14">
        <f t="shared" si="4"/>
        <v>254</v>
      </c>
      <c r="B258" s="18"/>
      <c r="C258" s="16" t="s">
        <v>1679</v>
      </c>
      <c r="D258" s="19"/>
      <c r="E258" s="426"/>
      <c r="F258" s="203" t="str">
        <f t="shared" si="5"/>
        <v/>
      </c>
    </row>
    <row r="259" spans="1:6" ht="14.1" customHeight="1">
      <c r="A259" s="14">
        <f t="shared" si="4"/>
        <v>255</v>
      </c>
      <c r="B259" s="18"/>
      <c r="C259" s="16" t="s">
        <v>1679</v>
      </c>
      <c r="D259" s="19"/>
      <c r="E259" s="426"/>
      <c r="F259" s="203" t="str">
        <f t="shared" si="5"/>
        <v/>
      </c>
    </row>
    <row r="260" spans="1:6" ht="14.1" customHeight="1">
      <c r="A260" s="14">
        <f t="shared" si="4"/>
        <v>256</v>
      </c>
      <c r="B260" s="18"/>
      <c r="C260" s="16" t="s">
        <v>1679</v>
      </c>
      <c r="D260" s="19"/>
      <c r="E260" s="426"/>
      <c r="F260" s="203" t="str">
        <f t="shared" si="5"/>
        <v/>
      </c>
    </row>
    <row r="261" spans="1:6" ht="14.1" customHeight="1">
      <c r="A261" s="14">
        <f t="shared" si="4"/>
        <v>257</v>
      </c>
      <c r="B261" s="18"/>
      <c r="C261" s="16" t="s">
        <v>1679</v>
      </c>
      <c r="D261" s="19"/>
      <c r="E261" s="426"/>
      <c r="F261" s="203" t="str">
        <f t="shared" si="5"/>
        <v/>
      </c>
    </row>
    <row r="262" spans="1:6" ht="14.1" customHeight="1">
      <c r="A262" s="14">
        <f t="shared" si="4"/>
        <v>258</v>
      </c>
      <c r="B262" s="18"/>
      <c r="C262" s="16" t="s">
        <v>1679</v>
      </c>
      <c r="D262" s="19"/>
      <c r="E262" s="426"/>
      <c r="F262" s="203" t="str">
        <f t="shared" si="5"/>
        <v/>
      </c>
    </row>
    <row r="263" spans="1:6" ht="14.1" customHeight="1">
      <c r="A263" s="14">
        <f t="shared" si="4"/>
        <v>259</v>
      </c>
      <c r="B263" s="18"/>
      <c r="C263" s="16" t="s">
        <v>1679</v>
      </c>
      <c r="D263" s="19"/>
      <c r="E263" s="426"/>
      <c r="F263" s="203" t="str">
        <f t="shared" si="5"/>
        <v/>
      </c>
    </row>
    <row r="264" spans="1:6" ht="14.1" customHeight="1">
      <c r="A264" s="14">
        <f t="shared" si="4"/>
        <v>260</v>
      </c>
      <c r="B264" s="18"/>
      <c r="C264" s="16" t="s">
        <v>1679</v>
      </c>
      <c r="D264" s="19"/>
      <c r="E264" s="426"/>
      <c r="F264" s="203" t="str">
        <f t="shared" si="5"/>
        <v/>
      </c>
    </row>
    <row r="265" spans="1:6" ht="14.1" customHeight="1">
      <c r="A265" s="14">
        <f t="shared" si="4"/>
        <v>261</v>
      </c>
      <c r="B265" s="18"/>
      <c r="C265" s="16" t="s">
        <v>1679</v>
      </c>
      <c r="D265" s="19"/>
      <c r="E265" s="426"/>
      <c r="F265" s="203" t="str">
        <f t="shared" si="5"/>
        <v/>
      </c>
    </row>
    <row r="266" spans="1:6" ht="14.1" customHeight="1">
      <c r="A266" s="14">
        <f t="shared" si="4"/>
        <v>262</v>
      </c>
      <c r="B266" s="18"/>
      <c r="C266" s="16" t="s">
        <v>1679</v>
      </c>
      <c r="D266" s="19"/>
      <c r="E266" s="426"/>
      <c r="F266" s="203" t="str">
        <f t="shared" si="5"/>
        <v/>
      </c>
    </row>
    <row r="267" spans="1:6" ht="14.1" customHeight="1">
      <c r="A267" s="14">
        <f t="shared" si="4"/>
        <v>263</v>
      </c>
      <c r="B267" s="18"/>
      <c r="C267" s="16" t="s">
        <v>1679</v>
      </c>
      <c r="D267" s="19"/>
      <c r="E267" s="426"/>
      <c r="F267" s="203" t="str">
        <f t="shared" si="5"/>
        <v/>
      </c>
    </row>
    <row r="268" spans="1:6" ht="14.1" customHeight="1">
      <c r="A268" s="14">
        <f t="shared" si="4"/>
        <v>264</v>
      </c>
      <c r="B268" s="18"/>
      <c r="C268" s="16" t="s">
        <v>1679</v>
      </c>
      <c r="D268" s="19"/>
      <c r="E268" s="426"/>
      <c r="F268" s="203" t="str">
        <f t="shared" si="5"/>
        <v/>
      </c>
    </row>
    <row r="269" spans="1:6" ht="14.1" customHeight="1">
      <c r="A269" s="14">
        <f t="shared" si="4"/>
        <v>265</v>
      </c>
      <c r="B269" s="18"/>
      <c r="C269" s="16" t="s">
        <v>1679</v>
      </c>
      <c r="D269" s="19"/>
      <c r="E269" s="19"/>
      <c r="F269" s="203" t="str">
        <f t="shared" si="5"/>
        <v/>
      </c>
    </row>
    <row r="270" spans="1:6" ht="14.1" customHeight="1">
      <c r="A270" s="14">
        <f t="shared" si="4"/>
        <v>266</v>
      </c>
      <c r="B270" s="18"/>
      <c r="C270" s="16" t="s">
        <v>1679</v>
      </c>
      <c r="D270" s="19"/>
      <c r="E270" s="19"/>
      <c r="F270" s="203" t="str">
        <f t="shared" si="5"/>
        <v/>
      </c>
    </row>
    <row r="271" spans="1:6" ht="14.1" customHeight="1">
      <c r="A271" s="14">
        <f t="shared" si="4"/>
        <v>267</v>
      </c>
      <c r="B271" s="18"/>
      <c r="C271" s="16" t="s">
        <v>1679</v>
      </c>
      <c r="D271" s="19"/>
      <c r="E271" s="19"/>
      <c r="F271" s="203" t="str">
        <f t="shared" si="5"/>
        <v/>
      </c>
    </row>
    <row r="272" spans="1:6" ht="14.1" customHeight="1">
      <c r="A272" s="14">
        <f t="shared" si="4"/>
        <v>268</v>
      </c>
      <c r="B272" s="18"/>
      <c r="C272" s="16" t="s">
        <v>1679</v>
      </c>
      <c r="D272" s="19"/>
      <c r="E272" s="19"/>
      <c r="F272" s="203" t="str">
        <f t="shared" si="5"/>
        <v/>
      </c>
    </row>
    <row r="273" spans="1:6" ht="14.1" customHeight="1">
      <c r="A273" s="14">
        <f t="shared" si="4"/>
        <v>269</v>
      </c>
      <c r="B273" s="18"/>
      <c r="C273" s="16" t="s">
        <v>1679</v>
      </c>
      <c r="D273" s="19"/>
      <c r="E273" s="19"/>
      <c r="F273" s="203" t="str">
        <f t="shared" si="5"/>
        <v/>
      </c>
    </row>
    <row r="274" spans="1:6" ht="14.1" customHeight="1">
      <c r="A274" s="14">
        <f t="shared" si="4"/>
        <v>270</v>
      </c>
      <c r="B274" s="18"/>
      <c r="C274" s="16" t="s">
        <v>1679</v>
      </c>
      <c r="D274" s="19"/>
      <c r="E274" s="19"/>
      <c r="F274" s="203" t="str">
        <f t="shared" si="5"/>
        <v/>
      </c>
    </row>
    <row r="275" spans="1:6" ht="14.1" customHeight="1">
      <c r="A275" s="14">
        <f t="shared" si="4"/>
        <v>271</v>
      </c>
      <c r="B275" s="18"/>
      <c r="C275" s="16" t="s">
        <v>1679</v>
      </c>
      <c r="D275" s="19"/>
      <c r="E275" s="19"/>
      <c r="F275" s="203" t="str">
        <f t="shared" si="5"/>
        <v/>
      </c>
    </row>
    <row r="276" spans="1:6" ht="14.1" customHeight="1">
      <c r="A276" s="14">
        <f t="shared" si="4"/>
        <v>272</v>
      </c>
      <c r="B276" s="18"/>
      <c r="C276" s="16" t="s">
        <v>1679</v>
      </c>
      <c r="D276" s="19"/>
      <c r="E276" s="19"/>
      <c r="F276" s="203" t="str">
        <f t="shared" si="5"/>
        <v/>
      </c>
    </row>
    <row r="277" spans="1:6" ht="14.1" customHeight="1">
      <c r="A277" s="14">
        <f t="shared" si="4"/>
        <v>273</v>
      </c>
      <c r="B277" s="18"/>
      <c r="C277" s="16" t="s">
        <v>1679</v>
      </c>
      <c r="D277" s="19"/>
      <c r="E277" s="19"/>
      <c r="F277" s="203" t="str">
        <f t="shared" si="5"/>
        <v/>
      </c>
    </row>
    <row r="278" spans="1:6" ht="14.1" customHeight="1">
      <c r="A278" s="14">
        <f t="shared" si="4"/>
        <v>274</v>
      </c>
      <c r="B278" s="18"/>
      <c r="C278" s="16" t="s">
        <v>1679</v>
      </c>
      <c r="D278" s="19"/>
      <c r="E278" s="19"/>
      <c r="F278" s="203" t="str">
        <f t="shared" si="5"/>
        <v/>
      </c>
    </row>
    <row r="279" spans="1:6" ht="14.1" customHeight="1">
      <c r="A279" s="14">
        <f t="shared" si="4"/>
        <v>275</v>
      </c>
      <c r="B279" s="18"/>
      <c r="C279" s="16" t="s">
        <v>1679</v>
      </c>
      <c r="D279" s="19"/>
      <c r="E279" s="19"/>
      <c r="F279" s="203" t="str">
        <f t="shared" si="5"/>
        <v/>
      </c>
    </row>
    <row r="280" spans="1:6" ht="14.1" customHeight="1">
      <c r="A280" s="14">
        <f t="shared" si="4"/>
        <v>276</v>
      </c>
      <c r="B280" s="18"/>
      <c r="C280" s="16" t="s">
        <v>1679</v>
      </c>
      <c r="D280" s="19"/>
      <c r="E280" s="19"/>
      <c r="F280" s="203" t="str">
        <f t="shared" si="5"/>
        <v/>
      </c>
    </row>
    <row r="281" spans="1:6" ht="14.1" customHeight="1">
      <c r="A281" s="14">
        <f t="shared" si="4"/>
        <v>277</v>
      </c>
      <c r="B281" s="18"/>
      <c r="C281" s="16" t="s">
        <v>1679</v>
      </c>
      <c r="D281" s="19"/>
      <c r="E281" s="19"/>
      <c r="F281" s="203" t="str">
        <f t="shared" si="5"/>
        <v/>
      </c>
    </row>
    <row r="282" spans="1:6" ht="14.1" customHeight="1">
      <c r="A282" s="14">
        <f t="shared" si="4"/>
        <v>278</v>
      </c>
      <c r="B282" s="18"/>
      <c r="C282" s="16" t="s">
        <v>1679</v>
      </c>
      <c r="D282" s="19"/>
      <c r="E282" s="19"/>
      <c r="F282" s="203" t="str">
        <f t="shared" si="5"/>
        <v/>
      </c>
    </row>
    <row r="283" spans="1:6" ht="14.1" customHeight="1">
      <c r="A283" s="14">
        <f t="shared" si="4"/>
        <v>279</v>
      </c>
      <c r="B283" s="18"/>
      <c r="C283" s="16" t="s">
        <v>1679</v>
      </c>
      <c r="D283" s="19"/>
      <c r="E283" s="19"/>
      <c r="F283" s="203" t="str">
        <f t="shared" si="5"/>
        <v/>
      </c>
    </row>
    <row r="284" spans="1:6" ht="14.1" customHeight="1">
      <c r="A284" s="14">
        <f t="shared" si="4"/>
        <v>280</v>
      </c>
      <c r="B284" s="18"/>
      <c r="C284" s="16" t="s">
        <v>1679</v>
      </c>
      <c r="D284" s="19"/>
      <c r="E284" s="19"/>
      <c r="F284" s="203" t="str">
        <f t="shared" si="5"/>
        <v/>
      </c>
    </row>
    <row r="285" spans="1:6" ht="14.1" customHeight="1">
      <c r="A285" s="14">
        <f t="shared" si="4"/>
        <v>281</v>
      </c>
      <c r="B285" s="18"/>
      <c r="C285" s="16" t="s">
        <v>1679</v>
      </c>
      <c r="D285" s="19"/>
      <c r="E285" s="19"/>
      <c r="F285" s="203" t="str">
        <f t="shared" si="5"/>
        <v/>
      </c>
    </row>
    <row r="286" spans="1:6" ht="14.1" customHeight="1">
      <c r="A286" s="14">
        <f t="shared" si="4"/>
        <v>282</v>
      </c>
      <c r="B286" s="18"/>
      <c r="C286" s="16" t="s">
        <v>1679</v>
      </c>
      <c r="D286" s="19"/>
      <c r="E286" s="19"/>
      <c r="F286" s="203" t="str">
        <f t="shared" si="5"/>
        <v/>
      </c>
    </row>
    <row r="287" spans="1:6" ht="14.1" customHeight="1">
      <c r="A287" s="14">
        <f t="shared" ref="A287:A350" si="6">A286+1</f>
        <v>283</v>
      </c>
      <c r="B287" s="18"/>
      <c r="C287" s="16" t="s">
        <v>1679</v>
      </c>
      <c r="D287" s="19"/>
      <c r="E287" s="19"/>
      <c r="F287" s="203" t="str">
        <f t="shared" si="5"/>
        <v/>
      </c>
    </row>
    <row r="288" spans="1:6" ht="14.1" customHeight="1">
      <c r="A288" s="14">
        <f t="shared" si="6"/>
        <v>284</v>
      </c>
      <c r="B288" s="18"/>
      <c r="C288" s="16" t="s">
        <v>1679</v>
      </c>
      <c r="D288" s="19"/>
      <c r="E288" s="19"/>
      <c r="F288" s="203" t="str">
        <f t="shared" si="5"/>
        <v/>
      </c>
    </row>
    <row r="289" spans="1:6" ht="14.1" customHeight="1">
      <c r="A289" s="14">
        <f t="shared" si="6"/>
        <v>285</v>
      </c>
      <c r="B289" s="18"/>
      <c r="C289" s="16" t="s">
        <v>1679</v>
      </c>
      <c r="D289" s="19"/>
      <c r="E289" s="19"/>
      <c r="F289" s="203" t="str">
        <f t="shared" si="5"/>
        <v/>
      </c>
    </row>
    <row r="290" spans="1:6" ht="14.1" customHeight="1">
      <c r="A290" s="14">
        <f t="shared" si="6"/>
        <v>286</v>
      </c>
      <c r="B290" s="18"/>
      <c r="C290" s="16" t="s">
        <v>1679</v>
      </c>
      <c r="D290" s="19"/>
      <c r="E290" s="19"/>
      <c r="F290" s="203" t="str">
        <f t="shared" si="5"/>
        <v/>
      </c>
    </row>
    <row r="291" spans="1:6" ht="14.1" customHeight="1">
      <c r="A291" s="14">
        <f t="shared" si="6"/>
        <v>287</v>
      </c>
      <c r="B291" s="18"/>
      <c r="C291" s="16" t="s">
        <v>1679</v>
      </c>
      <c r="D291" s="19"/>
      <c r="E291" s="19"/>
      <c r="F291" s="203" t="str">
        <f t="shared" si="5"/>
        <v/>
      </c>
    </row>
    <row r="292" spans="1:6" ht="14.1" customHeight="1">
      <c r="A292" s="14">
        <f t="shared" si="6"/>
        <v>288</v>
      </c>
      <c r="B292" s="18"/>
      <c r="C292" s="16" t="s">
        <v>1679</v>
      </c>
      <c r="D292" s="19"/>
      <c r="E292" s="19"/>
      <c r="F292" s="203" t="str">
        <f t="shared" si="5"/>
        <v/>
      </c>
    </row>
    <row r="293" spans="1:6" ht="14.1" customHeight="1">
      <c r="A293" s="14">
        <f t="shared" si="6"/>
        <v>289</v>
      </c>
      <c r="B293" s="18"/>
      <c r="C293" s="16" t="s">
        <v>1679</v>
      </c>
      <c r="D293" s="19"/>
      <c r="E293" s="19"/>
      <c r="F293" s="203" t="str">
        <f t="shared" si="5"/>
        <v/>
      </c>
    </row>
    <row r="294" spans="1:6" ht="14.1" customHeight="1">
      <c r="A294" s="14">
        <f t="shared" si="6"/>
        <v>290</v>
      </c>
      <c r="B294" s="18"/>
      <c r="C294" s="16" t="s">
        <v>1679</v>
      </c>
      <c r="D294" s="19"/>
      <c r="E294" s="19"/>
      <c r="F294" s="203" t="str">
        <f t="shared" si="5"/>
        <v/>
      </c>
    </row>
    <row r="295" spans="1:6" ht="14.1" customHeight="1">
      <c r="A295" s="14">
        <f t="shared" si="6"/>
        <v>291</v>
      </c>
      <c r="B295" s="18"/>
      <c r="C295" s="16" t="s">
        <v>1679</v>
      </c>
      <c r="D295" s="19"/>
      <c r="E295" s="19"/>
      <c r="F295" s="203" t="str">
        <f t="shared" si="5"/>
        <v/>
      </c>
    </row>
    <row r="296" spans="1:6" ht="14.1" customHeight="1">
      <c r="A296" s="14">
        <f t="shared" si="6"/>
        <v>292</v>
      </c>
      <c r="B296" s="18"/>
      <c r="C296" s="16" t="s">
        <v>1679</v>
      </c>
      <c r="D296" s="19"/>
      <c r="E296" s="19"/>
      <c r="F296" s="203" t="str">
        <f t="shared" si="5"/>
        <v/>
      </c>
    </row>
    <row r="297" spans="1:6" ht="14.1" customHeight="1">
      <c r="A297" s="14">
        <f t="shared" si="6"/>
        <v>293</v>
      </c>
      <c r="B297" s="18"/>
      <c r="C297" s="16" t="s">
        <v>1679</v>
      </c>
      <c r="D297" s="19"/>
      <c r="E297" s="19"/>
      <c r="F297" s="203" t="str">
        <f t="shared" si="5"/>
        <v/>
      </c>
    </row>
    <row r="298" spans="1:6" ht="14.1" customHeight="1">
      <c r="A298" s="14">
        <f t="shared" si="6"/>
        <v>294</v>
      </c>
      <c r="B298" s="18"/>
      <c r="C298" s="16" t="s">
        <v>1679</v>
      </c>
      <c r="D298" s="19"/>
      <c r="E298" s="19"/>
      <c r="F298" s="203" t="str">
        <f t="shared" si="5"/>
        <v/>
      </c>
    </row>
    <row r="299" spans="1:6" ht="14.1" customHeight="1">
      <c r="A299" s="14">
        <f t="shared" si="6"/>
        <v>295</v>
      </c>
      <c r="B299" s="18"/>
      <c r="C299" s="16" t="s">
        <v>1679</v>
      </c>
      <c r="D299" s="19"/>
      <c r="E299" s="19"/>
      <c r="F299" s="203" t="str">
        <f t="shared" si="5"/>
        <v/>
      </c>
    </row>
    <row r="300" spans="1:6" ht="14.1" customHeight="1">
      <c r="A300" s="14">
        <f t="shared" si="6"/>
        <v>296</v>
      </c>
      <c r="B300" s="18"/>
      <c r="C300" s="16" t="s">
        <v>1679</v>
      </c>
      <c r="D300" s="19"/>
      <c r="E300" s="19"/>
      <c r="F300" s="203" t="str">
        <f t="shared" si="5"/>
        <v/>
      </c>
    </row>
    <row r="301" spans="1:6" ht="14.1" customHeight="1">
      <c r="A301" s="14">
        <f t="shared" si="6"/>
        <v>297</v>
      </c>
      <c r="B301" s="18"/>
      <c r="C301" s="16" t="s">
        <v>1679</v>
      </c>
      <c r="D301" s="19"/>
      <c r="E301" s="19"/>
      <c r="F301" s="203" t="str">
        <f t="shared" si="5"/>
        <v/>
      </c>
    </row>
    <row r="302" spans="1:6" ht="14.1" customHeight="1">
      <c r="A302" s="14">
        <f t="shared" si="6"/>
        <v>298</v>
      </c>
      <c r="B302" s="18"/>
      <c r="C302" s="16" t="s">
        <v>1679</v>
      </c>
      <c r="D302" s="19"/>
      <c r="E302" s="19"/>
      <c r="F302" s="203" t="str">
        <f t="shared" si="5"/>
        <v/>
      </c>
    </row>
    <row r="303" spans="1:6" ht="14.1" customHeight="1">
      <c r="A303" s="14">
        <f t="shared" si="6"/>
        <v>299</v>
      </c>
      <c r="B303" s="18"/>
      <c r="C303" s="16" t="s">
        <v>1679</v>
      </c>
      <c r="D303" s="19"/>
      <c r="E303" s="19"/>
      <c r="F303" s="203" t="str">
        <f t="shared" si="5"/>
        <v/>
      </c>
    </row>
    <row r="304" spans="1:6" ht="14.1" customHeight="1">
      <c r="A304" s="14">
        <f t="shared" si="6"/>
        <v>300</v>
      </c>
      <c r="B304" s="18"/>
      <c r="C304" s="16" t="s">
        <v>1679</v>
      </c>
      <c r="D304" s="19"/>
      <c r="E304" s="19"/>
      <c r="F304" s="203" t="str">
        <f t="shared" ref="F304:F367" si="7">IF(AND(B305&lt;&gt;"",B304=""),"Don't skip lines",IF(AND(D304="",B304&lt;&gt;""),"Enter U-value",IF(AND(D304&lt;&gt;"",B304=""),"Enter Description","")))</f>
        <v/>
      </c>
    </row>
    <row r="305" spans="1:6" ht="14.1" customHeight="1">
      <c r="A305" s="14">
        <f t="shared" si="6"/>
        <v>301</v>
      </c>
      <c r="B305" s="18"/>
      <c r="C305" s="16" t="s">
        <v>1679</v>
      </c>
      <c r="D305" s="19"/>
      <c r="E305" s="19"/>
      <c r="F305" s="203" t="str">
        <f t="shared" si="7"/>
        <v/>
      </c>
    </row>
    <row r="306" spans="1:6" ht="14.1" customHeight="1">
      <c r="A306" s="14">
        <f t="shared" si="6"/>
        <v>302</v>
      </c>
      <c r="B306" s="18"/>
      <c r="C306" s="16" t="s">
        <v>1679</v>
      </c>
      <c r="D306" s="19"/>
      <c r="E306" s="19"/>
      <c r="F306" s="203" t="str">
        <f t="shared" si="7"/>
        <v/>
      </c>
    </row>
    <row r="307" spans="1:6" ht="14.1" customHeight="1">
      <c r="A307" s="14">
        <f t="shared" si="6"/>
        <v>303</v>
      </c>
      <c r="B307" s="18"/>
      <c r="C307" s="16" t="s">
        <v>1679</v>
      </c>
      <c r="D307" s="19"/>
      <c r="E307" s="19"/>
      <c r="F307" s="203" t="str">
        <f t="shared" si="7"/>
        <v/>
      </c>
    </row>
    <row r="308" spans="1:6" ht="14.1" customHeight="1">
      <c r="A308" s="14">
        <f t="shared" si="6"/>
        <v>304</v>
      </c>
      <c r="B308" s="18"/>
      <c r="C308" s="16" t="s">
        <v>1679</v>
      </c>
      <c r="D308" s="19"/>
      <c r="E308" s="19"/>
      <c r="F308" s="203" t="str">
        <f t="shared" si="7"/>
        <v/>
      </c>
    </row>
    <row r="309" spans="1:6" ht="14.1" customHeight="1">
      <c r="A309" s="14">
        <f t="shared" si="6"/>
        <v>305</v>
      </c>
      <c r="B309" s="18"/>
      <c r="C309" s="16" t="s">
        <v>1679</v>
      </c>
      <c r="D309" s="19"/>
      <c r="E309" s="19"/>
      <c r="F309" s="203" t="str">
        <f t="shared" si="7"/>
        <v/>
      </c>
    </row>
    <row r="310" spans="1:6" ht="14.1" customHeight="1">
      <c r="A310" s="14">
        <f t="shared" si="6"/>
        <v>306</v>
      </c>
      <c r="B310" s="18"/>
      <c r="C310" s="16" t="s">
        <v>1679</v>
      </c>
      <c r="D310" s="19"/>
      <c r="E310" s="19"/>
      <c r="F310" s="203" t="str">
        <f t="shared" si="7"/>
        <v/>
      </c>
    </row>
    <row r="311" spans="1:6" ht="14.1" customHeight="1">
      <c r="A311" s="14">
        <f t="shared" si="6"/>
        <v>307</v>
      </c>
      <c r="B311" s="18"/>
      <c r="C311" s="16" t="s">
        <v>1679</v>
      </c>
      <c r="D311" s="19"/>
      <c r="E311" s="19"/>
      <c r="F311" s="203" t="str">
        <f t="shared" si="7"/>
        <v/>
      </c>
    </row>
    <row r="312" spans="1:6" ht="14.1" customHeight="1">
      <c r="A312" s="14">
        <f t="shared" si="6"/>
        <v>308</v>
      </c>
      <c r="B312" s="18"/>
      <c r="C312" s="16" t="s">
        <v>1679</v>
      </c>
      <c r="D312" s="19"/>
      <c r="E312" s="19"/>
      <c r="F312" s="203" t="str">
        <f t="shared" si="7"/>
        <v/>
      </c>
    </row>
    <row r="313" spans="1:6" ht="14.1" customHeight="1">
      <c r="A313" s="14">
        <f t="shared" si="6"/>
        <v>309</v>
      </c>
      <c r="B313" s="18"/>
      <c r="C313" s="16" t="s">
        <v>1679</v>
      </c>
      <c r="D313" s="19"/>
      <c r="E313" s="19"/>
      <c r="F313" s="203" t="str">
        <f t="shared" si="7"/>
        <v/>
      </c>
    </row>
    <row r="314" spans="1:6" ht="14.1" customHeight="1">
      <c r="A314" s="14">
        <f t="shared" si="6"/>
        <v>310</v>
      </c>
      <c r="B314" s="18"/>
      <c r="C314" s="16" t="s">
        <v>1679</v>
      </c>
      <c r="D314" s="19"/>
      <c r="E314" s="19"/>
      <c r="F314" s="203" t="str">
        <f t="shared" si="7"/>
        <v/>
      </c>
    </row>
    <row r="315" spans="1:6" ht="14.1" customHeight="1">
      <c r="A315" s="14">
        <f t="shared" si="6"/>
        <v>311</v>
      </c>
      <c r="B315" s="18"/>
      <c r="C315" s="16" t="s">
        <v>1679</v>
      </c>
      <c r="D315" s="19"/>
      <c r="E315" s="19"/>
      <c r="F315" s="203" t="str">
        <f t="shared" si="7"/>
        <v/>
      </c>
    </row>
    <row r="316" spans="1:6" ht="14.1" customHeight="1">
      <c r="A316" s="14">
        <f t="shared" si="6"/>
        <v>312</v>
      </c>
      <c r="B316" s="18"/>
      <c r="C316" s="16" t="s">
        <v>1679</v>
      </c>
      <c r="D316" s="19"/>
      <c r="E316" s="19"/>
      <c r="F316" s="203" t="str">
        <f t="shared" si="7"/>
        <v/>
      </c>
    </row>
    <row r="317" spans="1:6" ht="14.1" customHeight="1">
      <c r="A317" s="14">
        <f t="shared" si="6"/>
        <v>313</v>
      </c>
      <c r="B317" s="18"/>
      <c r="C317" s="16" t="s">
        <v>1679</v>
      </c>
      <c r="D317" s="19"/>
      <c r="E317" s="19"/>
      <c r="F317" s="203" t="str">
        <f t="shared" si="7"/>
        <v/>
      </c>
    </row>
    <row r="318" spans="1:6" ht="14.1" customHeight="1">
      <c r="A318" s="14">
        <f t="shared" si="6"/>
        <v>314</v>
      </c>
      <c r="B318" s="18"/>
      <c r="C318" s="16" t="s">
        <v>1679</v>
      </c>
      <c r="D318" s="19"/>
      <c r="E318" s="19"/>
      <c r="F318" s="203" t="str">
        <f t="shared" si="7"/>
        <v/>
      </c>
    </row>
    <row r="319" spans="1:6" ht="14.1" customHeight="1">
      <c r="A319" s="14">
        <f t="shared" si="6"/>
        <v>315</v>
      </c>
      <c r="B319" s="18"/>
      <c r="C319" s="16" t="s">
        <v>1679</v>
      </c>
      <c r="D319" s="19"/>
      <c r="E319" s="19"/>
      <c r="F319" s="203" t="str">
        <f t="shared" si="7"/>
        <v/>
      </c>
    </row>
    <row r="320" spans="1:6" ht="14.1" customHeight="1">
      <c r="A320" s="14">
        <f t="shared" si="6"/>
        <v>316</v>
      </c>
      <c r="B320" s="18"/>
      <c r="C320" s="16" t="s">
        <v>1679</v>
      </c>
      <c r="D320" s="19"/>
      <c r="E320" s="19"/>
      <c r="F320" s="203" t="str">
        <f t="shared" si="7"/>
        <v/>
      </c>
    </row>
    <row r="321" spans="1:6" ht="14.1" customHeight="1">
      <c r="A321" s="14">
        <f t="shared" si="6"/>
        <v>317</v>
      </c>
      <c r="B321" s="18"/>
      <c r="C321" s="16" t="s">
        <v>1679</v>
      </c>
      <c r="D321" s="19"/>
      <c r="E321" s="19"/>
      <c r="F321" s="203" t="str">
        <f t="shared" si="7"/>
        <v/>
      </c>
    </row>
    <row r="322" spans="1:6" ht="14.1" customHeight="1">
      <c r="A322" s="14">
        <f t="shared" si="6"/>
        <v>318</v>
      </c>
      <c r="B322" s="18"/>
      <c r="C322" s="16" t="s">
        <v>1679</v>
      </c>
      <c r="D322" s="19"/>
      <c r="E322" s="19"/>
      <c r="F322" s="203" t="str">
        <f t="shared" si="7"/>
        <v/>
      </c>
    </row>
    <row r="323" spans="1:6" ht="14.1" customHeight="1">
      <c r="A323" s="14">
        <f t="shared" si="6"/>
        <v>319</v>
      </c>
      <c r="B323" s="18"/>
      <c r="C323" s="16" t="s">
        <v>1679</v>
      </c>
      <c r="D323" s="19"/>
      <c r="E323" s="19"/>
      <c r="F323" s="203" t="str">
        <f t="shared" si="7"/>
        <v/>
      </c>
    </row>
    <row r="324" spans="1:6" ht="14.1" customHeight="1">
      <c r="A324" s="14">
        <f t="shared" si="6"/>
        <v>320</v>
      </c>
      <c r="B324" s="18"/>
      <c r="C324" s="16" t="s">
        <v>1679</v>
      </c>
      <c r="D324" s="19"/>
      <c r="E324" s="19"/>
      <c r="F324" s="203" t="str">
        <f t="shared" si="7"/>
        <v/>
      </c>
    </row>
    <row r="325" spans="1:6" ht="14.1" customHeight="1">
      <c r="A325" s="14">
        <f t="shared" si="6"/>
        <v>321</v>
      </c>
      <c r="B325" s="18"/>
      <c r="C325" s="16" t="s">
        <v>1679</v>
      </c>
      <c r="D325" s="19"/>
      <c r="E325" s="19"/>
      <c r="F325" s="203" t="str">
        <f t="shared" si="7"/>
        <v/>
      </c>
    </row>
    <row r="326" spans="1:6" ht="14.1" customHeight="1">
      <c r="A326" s="14">
        <f t="shared" si="6"/>
        <v>322</v>
      </c>
      <c r="B326" s="18"/>
      <c r="C326" s="16" t="s">
        <v>1679</v>
      </c>
      <c r="D326" s="19"/>
      <c r="E326" s="19"/>
      <c r="F326" s="203" t="str">
        <f t="shared" si="7"/>
        <v/>
      </c>
    </row>
    <row r="327" spans="1:6" ht="14.1" customHeight="1">
      <c r="A327" s="14">
        <f t="shared" si="6"/>
        <v>323</v>
      </c>
      <c r="B327" s="18"/>
      <c r="C327" s="16" t="s">
        <v>1679</v>
      </c>
      <c r="D327" s="19"/>
      <c r="E327" s="19"/>
      <c r="F327" s="203" t="str">
        <f t="shared" si="7"/>
        <v/>
      </c>
    </row>
    <row r="328" spans="1:6" ht="14.1" customHeight="1">
      <c r="A328" s="14">
        <f t="shared" si="6"/>
        <v>324</v>
      </c>
      <c r="B328" s="18"/>
      <c r="C328" s="16" t="s">
        <v>1679</v>
      </c>
      <c r="D328" s="19"/>
      <c r="E328" s="19"/>
      <c r="F328" s="203" t="str">
        <f t="shared" si="7"/>
        <v/>
      </c>
    </row>
    <row r="329" spans="1:6" ht="14.1" customHeight="1">
      <c r="A329" s="14">
        <f t="shared" si="6"/>
        <v>325</v>
      </c>
      <c r="B329" s="18"/>
      <c r="C329" s="16" t="s">
        <v>1679</v>
      </c>
      <c r="D329" s="19"/>
      <c r="E329" s="19"/>
      <c r="F329" s="203" t="str">
        <f t="shared" si="7"/>
        <v/>
      </c>
    </row>
    <row r="330" spans="1:6" ht="14.1" customHeight="1">
      <c r="A330" s="14">
        <f t="shared" si="6"/>
        <v>326</v>
      </c>
      <c r="B330" s="18"/>
      <c r="C330" s="16" t="s">
        <v>1679</v>
      </c>
      <c r="D330" s="19"/>
      <c r="E330" s="19"/>
      <c r="F330" s="203" t="str">
        <f t="shared" si="7"/>
        <v/>
      </c>
    </row>
    <row r="331" spans="1:6" ht="14.1" customHeight="1">
      <c r="A331" s="14">
        <f t="shared" si="6"/>
        <v>327</v>
      </c>
      <c r="B331" s="18"/>
      <c r="C331" s="16" t="s">
        <v>1679</v>
      </c>
      <c r="D331" s="19"/>
      <c r="E331" s="19"/>
      <c r="F331" s="203" t="str">
        <f t="shared" si="7"/>
        <v/>
      </c>
    </row>
    <row r="332" spans="1:6" ht="14.1" customHeight="1">
      <c r="A332" s="14">
        <f t="shared" si="6"/>
        <v>328</v>
      </c>
      <c r="B332" s="18"/>
      <c r="C332" s="16" t="s">
        <v>1679</v>
      </c>
      <c r="D332" s="19"/>
      <c r="E332" s="19"/>
      <c r="F332" s="203" t="str">
        <f t="shared" si="7"/>
        <v/>
      </c>
    </row>
    <row r="333" spans="1:6" ht="14.1" customHeight="1">
      <c r="A333" s="14">
        <f t="shared" si="6"/>
        <v>329</v>
      </c>
      <c r="B333" s="18"/>
      <c r="C333" s="16" t="s">
        <v>1679</v>
      </c>
      <c r="D333" s="19"/>
      <c r="E333" s="19"/>
      <c r="F333" s="203" t="str">
        <f t="shared" si="7"/>
        <v/>
      </c>
    </row>
    <row r="334" spans="1:6" ht="14.1" customHeight="1">
      <c r="A334" s="14">
        <f t="shared" si="6"/>
        <v>330</v>
      </c>
      <c r="B334" s="18"/>
      <c r="C334" s="16" t="s">
        <v>1679</v>
      </c>
      <c r="D334" s="19"/>
      <c r="E334" s="19"/>
      <c r="F334" s="203" t="str">
        <f t="shared" si="7"/>
        <v/>
      </c>
    </row>
    <row r="335" spans="1:6" ht="14.1" customHeight="1">
      <c r="A335" s="14">
        <f t="shared" si="6"/>
        <v>331</v>
      </c>
      <c r="B335" s="18"/>
      <c r="C335" s="16" t="s">
        <v>1679</v>
      </c>
      <c r="D335" s="19"/>
      <c r="E335" s="19"/>
      <c r="F335" s="203" t="str">
        <f t="shared" si="7"/>
        <v/>
      </c>
    </row>
    <row r="336" spans="1:6" ht="14.1" customHeight="1">
      <c r="A336" s="14">
        <f t="shared" si="6"/>
        <v>332</v>
      </c>
      <c r="B336" s="18"/>
      <c r="C336" s="16" t="s">
        <v>1679</v>
      </c>
      <c r="D336" s="19"/>
      <c r="E336" s="19"/>
      <c r="F336" s="203" t="str">
        <f t="shared" si="7"/>
        <v/>
      </c>
    </row>
    <row r="337" spans="1:6" ht="14.1" customHeight="1">
      <c r="A337" s="14">
        <f t="shared" si="6"/>
        <v>333</v>
      </c>
      <c r="B337" s="18"/>
      <c r="C337" s="16" t="s">
        <v>1679</v>
      </c>
      <c r="D337" s="19"/>
      <c r="E337" s="19"/>
      <c r="F337" s="203" t="str">
        <f t="shared" si="7"/>
        <v/>
      </c>
    </row>
    <row r="338" spans="1:6" ht="14.1" customHeight="1">
      <c r="A338" s="14">
        <f t="shared" si="6"/>
        <v>334</v>
      </c>
      <c r="B338" s="18"/>
      <c r="C338" s="16" t="s">
        <v>1679</v>
      </c>
      <c r="D338" s="19"/>
      <c r="E338" s="19"/>
      <c r="F338" s="203" t="str">
        <f t="shared" si="7"/>
        <v/>
      </c>
    </row>
    <row r="339" spans="1:6" ht="14.1" customHeight="1">
      <c r="A339" s="14">
        <f t="shared" si="6"/>
        <v>335</v>
      </c>
      <c r="B339" s="18"/>
      <c r="C339" s="16" t="s">
        <v>1679</v>
      </c>
      <c r="D339" s="19"/>
      <c r="E339" s="19"/>
      <c r="F339" s="203" t="str">
        <f t="shared" si="7"/>
        <v/>
      </c>
    </row>
    <row r="340" spans="1:6" ht="14.1" customHeight="1">
      <c r="A340" s="14">
        <f t="shared" si="6"/>
        <v>336</v>
      </c>
      <c r="B340" s="18"/>
      <c r="C340" s="16" t="s">
        <v>1679</v>
      </c>
      <c r="D340" s="19"/>
      <c r="E340" s="19"/>
      <c r="F340" s="203" t="str">
        <f t="shared" si="7"/>
        <v/>
      </c>
    </row>
    <row r="341" spans="1:6" ht="14.1" customHeight="1">
      <c r="A341" s="14">
        <f t="shared" si="6"/>
        <v>337</v>
      </c>
      <c r="B341" s="18"/>
      <c r="C341" s="16" t="s">
        <v>1679</v>
      </c>
      <c r="D341" s="19"/>
      <c r="E341" s="19"/>
      <c r="F341" s="203" t="str">
        <f t="shared" si="7"/>
        <v/>
      </c>
    </row>
    <row r="342" spans="1:6" ht="14.1" customHeight="1">
      <c r="A342" s="14">
        <f t="shared" si="6"/>
        <v>338</v>
      </c>
      <c r="B342" s="18"/>
      <c r="C342" s="16" t="s">
        <v>1679</v>
      </c>
      <c r="D342" s="19"/>
      <c r="E342" s="19"/>
      <c r="F342" s="203" t="str">
        <f t="shared" si="7"/>
        <v/>
      </c>
    </row>
    <row r="343" spans="1:6" ht="14.1" customHeight="1">
      <c r="A343" s="14">
        <f t="shared" si="6"/>
        <v>339</v>
      </c>
      <c r="B343" s="18"/>
      <c r="C343" s="16" t="s">
        <v>1679</v>
      </c>
      <c r="D343" s="19"/>
      <c r="E343" s="19"/>
      <c r="F343" s="203" t="str">
        <f t="shared" si="7"/>
        <v/>
      </c>
    </row>
    <row r="344" spans="1:6" ht="14.1" customHeight="1">
      <c r="A344" s="14">
        <f t="shared" si="6"/>
        <v>340</v>
      </c>
      <c r="B344" s="18"/>
      <c r="C344" s="16" t="s">
        <v>1679</v>
      </c>
      <c r="D344" s="19"/>
      <c r="E344" s="19"/>
      <c r="F344" s="203" t="str">
        <f t="shared" si="7"/>
        <v/>
      </c>
    </row>
    <row r="345" spans="1:6" ht="14.1" customHeight="1">
      <c r="A345" s="14">
        <f t="shared" si="6"/>
        <v>341</v>
      </c>
      <c r="B345" s="18"/>
      <c r="C345" s="16" t="s">
        <v>1679</v>
      </c>
      <c r="D345" s="19"/>
      <c r="E345" s="19"/>
      <c r="F345" s="203" t="str">
        <f t="shared" si="7"/>
        <v/>
      </c>
    </row>
    <row r="346" spans="1:6" ht="14.1" customHeight="1">
      <c r="A346" s="14">
        <f t="shared" si="6"/>
        <v>342</v>
      </c>
      <c r="B346" s="18"/>
      <c r="C346" s="16" t="s">
        <v>1679</v>
      </c>
      <c r="D346" s="19"/>
      <c r="E346" s="19"/>
      <c r="F346" s="203" t="str">
        <f t="shared" si="7"/>
        <v/>
      </c>
    </row>
    <row r="347" spans="1:6" ht="14.1" customHeight="1">
      <c r="A347" s="14">
        <f t="shared" si="6"/>
        <v>343</v>
      </c>
      <c r="B347" s="18"/>
      <c r="C347" s="16" t="s">
        <v>1679</v>
      </c>
      <c r="D347" s="19"/>
      <c r="E347" s="19"/>
      <c r="F347" s="203" t="str">
        <f t="shared" si="7"/>
        <v/>
      </c>
    </row>
    <row r="348" spans="1:6" ht="14.1" customHeight="1">
      <c r="A348" s="14">
        <f t="shared" si="6"/>
        <v>344</v>
      </c>
      <c r="B348" s="18"/>
      <c r="C348" s="16" t="s">
        <v>1679</v>
      </c>
      <c r="D348" s="19"/>
      <c r="E348" s="19"/>
      <c r="F348" s="203" t="str">
        <f t="shared" si="7"/>
        <v/>
      </c>
    </row>
    <row r="349" spans="1:6" ht="14.1" customHeight="1">
      <c r="A349" s="14">
        <f t="shared" si="6"/>
        <v>345</v>
      </c>
      <c r="B349" s="18"/>
      <c r="C349" s="16" t="s">
        <v>1679</v>
      </c>
      <c r="D349" s="19"/>
      <c r="E349" s="19"/>
      <c r="F349" s="203" t="str">
        <f t="shared" si="7"/>
        <v/>
      </c>
    </row>
    <row r="350" spans="1:6" ht="14.1" customHeight="1">
      <c r="A350" s="14">
        <f t="shared" si="6"/>
        <v>346</v>
      </c>
      <c r="B350" s="18"/>
      <c r="C350" s="16" t="s">
        <v>1679</v>
      </c>
      <c r="D350" s="19"/>
      <c r="E350" s="19"/>
      <c r="F350" s="203" t="str">
        <f t="shared" si="7"/>
        <v/>
      </c>
    </row>
    <row r="351" spans="1:6" ht="14.1" customHeight="1">
      <c r="A351" s="14">
        <f t="shared" ref="A351:A384" si="8">A350+1</f>
        <v>347</v>
      </c>
      <c r="B351" s="18"/>
      <c r="C351" s="16" t="s">
        <v>1679</v>
      </c>
      <c r="D351" s="19"/>
      <c r="E351" s="19"/>
      <c r="F351" s="203" t="str">
        <f t="shared" si="7"/>
        <v/>
      </c>
    </row>
    <row r="352" spans="1:6" ht="14.1" customHeight="1">
      <c r="A352" s="14">
        <f t="shared" si="8"/>
        <v>348</v>
      </c>
      <c r="B352" s="18"/>
      <c r="C352" s="16" t="s">
        <v>1679</v>
      </c>
      <c r="D352" s="19"/>
      <c r="E352" s="19"/>
      <c r="F352" s="203" t="str">
        <f t="shared" si="7"/>
        <v/>
      </c>
    </row>
    <row r="353" spans="1:6" ht="14.1" customHeight="1">
      <c r="A353" s="14">
        <f t="shared" si="8"/>
        <v>349</v>
      </c>
      <c r="B353" s="18"/>
      <c r="C353" s="16" t="s">
        <v>1679</v>
      </c>
      <c r="D353" s="19"/>
      <c r="E353" s="19"/>
      <c r="F353" s="203" t="str">
        <f t="shared" si="7"/>
        <v/>
      </c>
    </row>
    <row r="354" spans="1:6" ht="14.1" customHeight="1">
      <c r="A354" s="14">
        <f t="shared" si="8"/>
        <v>350</v>
      </c>
      <c r="B354" s="18"/>
      <c r="C354" s="16" t="s">
        <v>1679</v>
      </c>
      <c r="D354" s="19"/>
      <c r="E354" s="19"/>
      <c r="F354" s="203" t="str">
        <f t="shared" si="7"/>
        <v/>
      </c>
    </row>
    <row r="355" spans="1:6" ht="14.1" customHeight="1">
      <c r="A355" s="14">
        <f t="shared" si="8"/>
        <v>351</v>
      </c>
      <c r="B355" s="18"/>
      <c r="C355" s="16" t="s">
        <v>1679</v>
      </c>
      <c r="D355" s="19"/>
      <c r="E355" s="19"/>
      <c r="F355" s="203" t="str">
        <f t="shared" si="7"/>
        <v/>
      </c>
    </row>
    <row r="356" spans="1:6" ht="14.1" customHeight="1">
      <c r="A356" s="14">
        <f t="shared" si="8"/>
        <v>352</v>
      </c>
      <c r="B356" s="18"/>
      <c r="C356" s="16" t="s">
        <v>1679</v>
      </c>
      <c r="D356" s="19"/>
      <c r="E356" s="19"/>
      <c r="F356" s="203" t="str">
        <f t="shared" si="7"/>
        <v/>
      </c>
    </row>
    <row r="357" spans="1:6" ht="14.1" customHeight="1">
      <c r="A357" s="14">
        <f t="shared" si="8"/>
        <v>353</v>
      </c>
      <c r="B357" s="18"/>
      <c r="C357" s="16" t="s">
        <v>1679</v>
      </c>
      <c r="D357" s="19"/>
      <c r="E357" s="19"/>
      <c r="F357" s="203" t="str">
        <f t="shared" si="7"/>
        <v/>
      </c>
    </row>
    <row r="358" spans="1:6" ht="14.1" customHeight="1">
      <c r="A358" s="14">
        <f t="shared" si="8"/>
        <v>354</v>
      </c>
      <c r="B358" s="18"/>
      <c r="C358" s="16" t="s">
        <v>1679</v>
      </c>
      <c r="D358" s="19"/>
      <c r="E358" s="19"/>
      <c r="F358" s="203" t="str">
        <f t="shared" si="7"/>
        <v/>
      </c>
    </row>
    <row r="359" spans="1:6" ht="14.1" customHeight="1">
      <c r="A359" s="14">
        <f t="shared" si="8"/>
        <v>355</v>
      </c>
      <c r="B359" s="18"/>
      <c r="C359" s="16" t="s">
        <v>1679</v>
      </c>
      <c r="D359" s="19"/>
      <c r="E359" s="19"/>
      <c r="F359" s="203" t="str">
        <f t="shared" si="7"/>
        <v/>
      </c>
    </row>
    <row r="360" spans="1:6" ht="14.1" customHeight="1">
      <c r="A360" s="14">
        <f t="shared" si="8"/>
        <v>356</v>
      </c>
      <c r="B360" s="18"/>
      <c r="C360" s="16" t="s">
        <v>1679</v>
      </c>
      <c r="D360" s="19"/>
      <c r="E360" s="19"/>
      <c r="F360" s="203" t="str">
        <f t="shared" si="7"/>
        <v/>
      </c>
    </row>
    <row r="361" spans="1:6" ht="14.1" customHeight="1">
      <c r="A361" s="14">
        <f t="shared" si="8"/>
        <v>357</v>
      </c>
      <c r="B361" s="18"/>
      <c r="C361" s="16" t="s">
        <v>1679</v>
      </c>
      <c r="D361" s="19"/>
      <c r="E361" s="19"/>
      <c r="F361" s="203" t="str">
        <f t="shared" si="7"/>
        <v/>
      </c>
    </row>
    <row r="362" spans="1:6" ht="14.1" customHeight="1">
      <c r="A362" s="14">
        <f t="shared" si="8"/>
        <v>358</v>
      </c>
      <c r="B362" s="18"/>
      <c r="C362" s="16" t="s">
        <v>1679</v>
      </c>
      <c r="D362" s="19"/>
      <c r="E362" s="19"/>
      <c r="F362" s="203" t="str">
        <f t="shared" si="7"/>
        <v/>
      </c>
    </row>
    <row r="363" spans="1:6" ht="14.1" customHeight="1">
      <c r="A363" s="14">
        <f t="shared" si="8"/>
        <v>359</v>
      </c>
      <c r="B363" s="18"/>
      <c r="C363" s="16" t="s">
        <v>1679</v>
      </c>
      <c r="D363" s="19"/>
      <c r="E363" s="19"/>
      <c r="F363" s="203" t="str">
        <f t="shared" si="7"/>
        <v/>
      </c>
    </row>
    <row r="364" spans="1:6" ht="14.1" customHeight="1">
      <c r="A364" s="14">
        <f t="shared" si="8"/>
        <v>360</v>
      </c>
      <c r="B364" s="18"/>
      <c r="C364" s="16" t="s">
        <v>1679</v>
      </c>
      <c r="D364" s="19"/>
      <c r="E364" s="19"/>
      <c r="F364" s="203" t="str">
        <f t="shared" si="7"/>
        <v/>
      </c>
    </row>
    <row r="365" spans="1:6" ht="14.1" customHeight="1">
      <c r="A365" s="14">
        <f t="shared" si="8"/>
        <v>361</v>
      </c>
      <c r="B365" s="18"/>
      <c r="C365" s="16" t="s">
        <v>1679</v>
      </c>
      <c r="D365" s="19"/>
      <c r="E365" s="19"/>
      <c r="F365" s="203" t="str">
        <f t="shared" si="7"/>
        <v/>
      </c>
    </row>
    <row r="366" spans="1:6" ht="14.1" customHeight="1">
      <c r="A366" s="14">
        <f t="shared" si="8"/>
        <v>362</v>
      </c>
      <c r="B366" s="18"/>
      <c r="C366" s="16" t="s">
        <v>1679</v>
      </c>
      <c r="D366" s="19"/>
      <c r="E366" s="19"/>
      <c r="F366" s="203" t="str">
        <f t="shared" si="7"/>
        <v/>
      </c>
    </row>
    <row r="367" spans="1:6" ht="14.1" customHeight="1">
      <c r="A367" s="14">
        <f t="shared" si="8"/>
        <v>363</v>
      </c>
      <c r="B367" s="18"/>
      <c r="C367" s="16" t="s">
        <v>1679</v>
      </c>
      <c r="D367" s="19"/>
      <c r="E367" s="19"/>
      <c r="F367" s="203" t="str">
        <f t="shared" si="7"/>
        <v/>
      </c>
    </row>
    <row r="368" spans="1:6" ht="14.1" customHeight="1">
      <c r="A368" s="14">
        <f t="shared" si="8"/>
        <v>364</v>
      </c>
      <c r="B368" s="18"/>
      <c r="C368" s="16" t="s">
        <v>1679</v>
      </c>
      <c r="D368" s="19"/>
      <c r="E368" s="19"/>
      <c r="F368" s="203" t="str">
        <f t="shared" ref="F368:F384" si="9">IF(AND(B369&lt;&gt;"",B368=""),"Don't skip lines",IF(AND(D368="",B368&lt;&gt;""),"Enter U-value",IF(AND(D368&lt;&gt;"",B368=""),"Enter Description","")))</f>
        <v/>
      </c>
    </row>
    <row r="369" spans="1:6" ht="14.1" customHeight="1">
      <c r="A369" s="14">
        <f t="shared" si="8"/>
        <v>365</v>
      </c>
      <c r="B369" s="18"/>
      <c r="C369" s="16" t="s">
        <v>1679</v>
      </c>
      <c r="D369" s="19"/>
      <c r="E369" s="19"/>
      <c r="F369" s="203" t="str">
        <f t="shared" si="9"/>
        <v/>
      </c>
    </row>
    <row r="370" spans="1:6" ht="14.1" customHeight="1">
      <c r="A370" s="14">
        <f t="shared" si="8"/>
        <v>366</v>
      </c>
      <c r="B370" s="18"/>
      <c r="C370" s="16" t="s">
        <v>1679</v>
      </c>
      <c r="D370" s="19"/>
      <c r="E370" s="19"/>
      <c r="F370" s="203" t="str">
        <f t="shared" si="9"/>
        <v/>
      </c>
    </row>
    <row r="371" spans="1:6" ht="14.1" customHeight="1">
      <c r="A371" s="14">
        <f t="shared" si="8"/>
        <v>367</v>
      </c>
      <c r="B371" s="18"/>
      <c r="C371" s="16" t="s">
        <v>1679</v>
      </c>
      <c r="D371" s="19"/>
      <c r="E371" s="19"/>
      <c r="F371" s="203" t="str">
        <f t="shared" si="9"/>
        <v/>
      </c>
    </row>
    <row r="372" spans="1:6" ht="14.1" customHeight="1">
      <c r="A372" s="14">
        <f t="shared" si="8"/>
        <v>368</v>
      </c>
      <c r="B372" s="18"/>
      <c r="C372" s="16" t="s">
        <v>1679</v>
      </c>
      <c r="D372" s="19"/>
      <c r="E372" s="19"/>
      <c r="F372" s="203" t="str">
        <f t="shared" si="9"/>
        <v/>
      </c>
    </row>
    <row r="373" spans="1:6" ht="14.1" customHeight="1">
      <c r="A373" s="14">
        <f t="shared" si="8"/>
        <v>369</v>
      </c>
      <c r="B373" s="18"/>
      <c r="C373" s="16" t="s">
        <v>1679</v>
      </c>
      <c r="D373" s="19"/>
      <c r="E373" s="19"/>
      <c r="F373" s="203" t="str">
        <f t="shared" si="9"/>
        <v/>
      </c>
    </row>
    <row r="374" spans="1:6" ht="14.1" customHeight="1">
      <c r="A374" s="14">
        <f t="shared" si="8"/>
        <v>370</v>
      </c>
      <c r="B374" s="18"/>
      <c r="C374" s="16" t="s">
        <v>1679</v>
      </c>
      <c r="D374" s="19"/>
      <c r="E374" s="19"/>
      <c r="F374" s="203" t="str">
        <f t="shared" si="9"/>
        <v/>
      </c>
    </row>
    <row r="375" spans="1:6" ht="14.1" customHeight="1">
      <c r="A375" s="14">
        <f t="shared" si="8"/>
        <v>371</v>
      </c>
      <c r="B375" s="18"/>
      <c r="C375" s="16" t="s">
        <v>1679</v>
      </c>
      <c r="D375" s="19"/>
      <c r="E375" s="19"/>
      <c r="F375" s="203" t="str">
        <f t="shared" si="9"/>
        <v/>
      </c>
    </row>
    <row r="376" spans="1:6" ht="14.1" customHeight="1">
      <c r="A376" s="14">
        <f t="shared" si="8"/>
        <v>372</v>
      </c>
      <c r="B376" s="18"/>
      <c r="C376" s="16" t="s">
        <v>1679</v>
      </c>
      <c r="D376" s="19"/>
      <c r="E376" s="19"/>
      <c r="F376" s="203" t="str">
        <f t="shared" si="9"/>
        <v/>
      </c>
    </row>
    <row r="377" spans="1:6" ht="14.1" customHeight="1">
      <c r="A377" s="14">
        <f t="shared" si="8"/>
        <v>373</v>
      </c>
      <c r="B377" s="18"/>
      <c r="C377" s="16" t="s">
        <v>1679</v>
      </c>
      <c r="D377" s="19"/>
      <c r="E377" s="19"/>
      <c r="F377" s="203" t="str">
        <f t="shared" si="9"/>
        <v/>
      </c>
    </row>
    <row r="378" spans="1:6" ht="14.1" customHeight="1">
      <c r="A378" s="14">
        <f t="shared" si="8"/>
        <v>374</v>
      </c>
      <c r="B378" s="18"/>
      <c r="C378" s="16" t="s">
        <v>1679</v>
      </c>
      <c r="D378" s="19"/>
      <c r="E378" s="19"/>
      <c r="F378" s="203" t="str">
        <f t="shared" si="9"/>
        <v/>
      </c>
    </row>
    <row r="379" spans="1:6" ht="14.1" customHeight="1">
      <c r="A379" s="14">
        <f t="shared" si="8"/>
        <v>375</v>
      </c>
      <c r="B379" s="18"/>
      <c r="C379" s="16" t="s">
        <v>1679</v>
      </c>
      <c r="D379" s="19"/>
      <c r="E379" s="19"/>
      <c r="F379" s="203" t="str">
        <f t="shared" si="9"/>
        <v/>
      </c>
    </row>
    <row r="380" spans="1:6" ht="14.1" customHeight="1">
      <c r="A380" s="14">
        <f t="shared" si="8"/>
        <v>376</v>
      </c>
      <c r="B380" s="18"/>
      <c r="C380" s="16" t="s">
        <v>1679</v>
      </c>
      <c r="D380" s="19"/>
      <c r="E380" s="19"/>
      <c r="F380" s="203" t="str">
        <f t="shared" si="9"/>
        <v/>
      </c>
    </row>
    <row r="381" spans="1:6" ht="14.1" customHeight="1">
      <c r="A381" s="14">
        <f t="shared" si="8"/>
        <v>377</v>
      </c>
      <c r="B381" s="18"/>
      <c r="C381" s="16" t="s">
        <v>1679</v>
      </c>
      <c r="D381" s="19"/>
      <c r="E381" s="19"/>
      <c r="F381" s="203" t="str">
        <f t="shared" si="9"/>
        <v/>
      </c>
    </row>
    <row r="382" spans="1:6" ht="14.1" customHeight="1">
      <c r="A382" s="14">
        <f t="shared" si="8"/>
        <v>378</v>
      </c>
      <c r="B382" s="18"/>
      <c r="C382" s="16" t="s">
        <v>1679</v>
      </c>
      <c r="D382" s="19"/>
      <c r="E382" s="19"/>
      <c r="F382" s="203" t="str">
        <f t="shared" si="9"/>
        <v/>
      </c>
    </row>
    <row r="383" spans="1:6" ht="14.1" customHeight="1">
      <c r="A383" s="14">
        <f t="shared" si="8"/>
        <v>379</v>
      </c>
      <c r="B383" s="18"/>
      <c r="C383" s="16" t="s">
        <v>1679</v>
      </c>
      <c r="D383" s="19"/>
      <c r="E383" s="19"/>
      <c r="F383" s="203" t="str">
        <f t="shared" si="9"/>
        <v/>
      </c>
    </row>
    <row r="384" spans="1:6" ht="14.1" customHeight="1">
      <c r="A384" s="14">
        <f t="shared" si="8"/>
        <v>380</v>
      </c>
      <c r="B384" s="20"/>
      <c r="C384" s="16" t="s">
        <v>1679</v>
      </c>
      <c r="D384" s="21"/>
      <c r="E384" s="21"/>
      <c r="F384" s="203" t="str">
        <f t="shared" si="9"/>
        <v/>
      </c>
    </row>
  </sheetData>
  <sheetProtection algorithmName="SHA-512" hashValue="9Ld0UyP2a8WI1amWAcv0VS4Gqp4ulQrybF1xei58jGJD6994T68ql2BEwRU0vr4GPDOFRJQrbm2G/EJ2UiEExA==" saltValue="ZwlumSE/eqAE+LGvLlGv3w==" spinCount="100000" sheet="1" objects="1" scenarios="1" insertHyperlinks="0" selectLockedCells="1" pivotTables="0"/>
  <customSheetViews>
    <customSheetView guid="{3A20BFFC-9D9E-415D-AC5D-1CC81DA9B04C}">
      <pane ySplit="1" topLeftCell="A2" activePane="bottomLeft" state="frozen"/>
      <selection pane="bottomLeft" activeCell="B45" sqref="B45"/>
      <pageMargins left="0.75" right="0.75" top="1" bottom="1" header="0.5" footer="0.5"/>
      <pageSetup orientation="portrait" r:id="rId1"/>
      <headerFooter alignWithMargins="0"/>
    </customSheetView>
  </customSheetViews>
  <phoneticPr fontId="0" type="noConversion"/>
  <conditionalFormatting sqref="D29:D238">
    <cfRule type="cellIs" dxfId="36" priority="7" operator="lessThanOrEqual">
      <formula>0.3</formula>
    </cfRule>
  </conditionalFormatting>
  <conditionalFormatting sqref="D8">
    <cfRule type="cellIs" dxfId="35" priority="3" operator="lessThanOrEqual">
      <formula>0.3</formula>
    </cfRule>
  </conditionalFormatting>
  <conditionalFormatting sqref="D22:D27">
    <cfRule type="cellIs" dxfId="34" priority="2" operator="lessThanOrEqual">
      <formula>0.3</formula>
    </cfRule>
  </conditionalFormatting>
  <conditionalFormatting sqref="D20:D21">
    <cfRule type="cellIs" dxfId="33" priority="4" operator="lessThanOrEqual">
      <formula>0.3</formula>
    </cfRule>
  </conditionalFormatting>
  <conditionalFormatting sqref="E14">
    <cfRule type="cellIs" dxfId="32" priority="1" operator="equal">
      <formula>0.56</formula>
    </cfRule>
  </conditionalFormatting>
  <dataValidations count="2">
    <dataValidation type="decimal" operator="greaterThanOrEqual" allowBlank="1" showErrorMessage="1" errorTitle="U-value Too Low" error="Windows with U-values less than about 0.14 are not commercially available." sqref="D240:D384" xr:uid="{00000000-0002-0000-0600-000000000000}">
      <formula1>0.14</formula1>
    </dataValidation>
    <dataValidation operator="greaterThanOrEqual" allowBlank="1" showErrorMessage="1" errorTitle="U-value Too Low" error="Windows with U-values less than about 0.14 are not commercially available." sqref="E240:E384" xr:uid="{00000000-0002-0000-0600-000001000000}"/>
  </dataValidations>
  <hyperlinks>
    <hyperlink ref="F1" location="'Terms of Use'!A1" display="(C) 2017" xr:uid="{00000000-0004-0000-06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9221" r:id="rId5" name="Button 5">
              <controlPr defaultSize="0" print="0" autoFill="0" autoPict="0" macro="[0]!Go_to_TopOfWindowInput">
                <anchor moveWithCells="1">
                  <from>
                    <xdr:col>3</xdr:col>
                    <xdr:colOff>295275</xdr:colOff>
                    <xdr:row>237</xdr:row>
                    <xdr:rowOff>133350</xdr:rowOff>
                  </from>
                  <to>
                    <xdr:col>4</xdr:col>
                    <xdr:colOff>1085850</xdr:colOff>
                    <xdr:row>238</xdr:row>
                    <xdr:rowOff>247650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verheadGlazing">
    <tabColor theme="0"/>
  </sheetPr>
  <dimension ref="A1:Z2020"/>
  <sheetViews>
    <sheetView zoomScaleNormal="100" workbookViewId="0">
      <pane ySplit="3" topLeftCell="A4" activePane="bottomLeft" state="frozen"/>
      <selection activeCell="D18" sqref="D18"/>
      <selection pane="bottomLeft" activeCell="B106" sqref="B106"/>
    </sheetView>
  </sheetViews>
  <sheetFormatPr defaultColWidth="8.7109375" defaultRowHeight="14.1" customHeight="1"/>
  <cols>
    <col min="1" max="1" width="8.7109375" style="14" customWidth="1"/>
    <col min="2" max="2" width="44.5703125" style="15" customWidth="1"/>
    <col min="3" max="3" width="15.5703125" style="16" customWidth="1"/>
    <col min="4" max="4" width="8.7109375" style="16" customWidth="1"/>
    <col min="5" max="5" width="22.7109375" style="16" customWidth="1"/>
    <col min="6" max="6" width="8.7109375" style="17" customWidth="1"/>
    <col min="7" max="16384" width="8.7109375" style="15"/>
  </cols>
  <sheetData>
    <row r="1" spans="1:26" ht="18.75"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c r="Y1" s="485"/>
      <c r="Z1" s="485"/>
    </row>
    <row r="2" spans="1:26" ht="22.5" customHeight="1">
      <c r="A2" s="549" t="s">
        <v>2461</v>
      </c>
      <c r="B2" s="550"/>
      <c r="C2" s="551"/>
      <c r="D2" s="552"/>
      <c r="E2" s="552"/>
      <c r="F2" s="550"/>
      <c r="G2" s="550"/>
      <c r="H2" s="550"/>
      <c r="I2" s="550"/>
      <c r="J2" s="553"/>
      <c r="K2" s="550"/>
      <c r="L2" s="550"/>
      <c r="M2" s="550"/>
      <c r="N2" s="550"/>
      <c r="O2" s="550"/>
      <c r="P2" s="550"/>
      <c r="Q2" s="550"/>
      <c r="R2" s="550"/>
      <c r="S2" s="550"/>
      <c r="T2" s="550"/>
      <c r="U2" s="550"/>
      <c r="V2" s="550"/>
      <c r="W2" s="550"/>
      <c r="X2" s="550"/>
      <c r="Y2" s="550"/>
      <c r="Z2" s="550"/>
    </row>
    <row r="3" spans="1:26" ht="14.1" customHeight="1">
      <c r="A3" s="524" t="s">
        <v>1400</v>
      </c>
      <c r="B3" s="425" t="s">
        <v>1401</v>
      </c>
      <c r="C3" s="439" t="s">
        <v>1402</v>
      </c>
      <c r="D3" s="439" t="s">
        <v>1403</v>
      </c>
      <c r="E3" s="441"/>
    </row>
    <row r="4" spans="1:26" ht="14.1" customHeight="1">
      <c r="C4" s="149"/>
      <c r="D4" s="149"/>
    </row>
    <row r="5" spans="1:26" ht="14.1" customHeight="1">
      <c r="A5" s="14">
        <v>1</v>
      </c>
      <c r="C5" s="149"/>
      <c r="D5" s="149"/>
    </row>
    <row r="6" spans="1:26" ht="14.1" customHeight="1">
      <c r="A6" s="14">
        <f t="shared" ref="A6:A65" si="0">A5+1</f>
        <v>2</v>
      </c>
      <c r="B6" s="101" t="s">
        <v>2063</v>
      </c>
      <c r="C6" s="149"/>
      <c r="D6" s="149"/>
    </row>
    <row r="7" spans="1:26" ht="14.1" customHeight="1">
      <c r="A7" s="14">
        <f t="shared" si="0"/>
        <v>3</v>
      </c>
      <c r="B7" s="15" t="s">
        <v>1578</v>
      </c>
      <c r="C7" s="149" t="s">
        <v>1579</v>
      </c>
      <c r="D7" s="149">
        <v>1.18</v>
      </c>
    </row>
    <row r="8" spans="1:26" ht="14.1" customHeight="1">
      <c r="A8" s="14">
        <f t="shared" si="0"/>
        <v>4</v>
      </c>
      <c r="B8" s="77" t="s">
        <v>2581</v>
      </c>
      <c r="C8" s="149" t="s">
        <v>1579</v>
      </c>
      <c r="D8" s="149">
        <v>0.5</v>
      </c>
    </row>
    <row r="9" spans="1:26" ht="14.1" customHeight="1">
      <c r="A9" s="14">
        <f t="shared" si="0"/>
        <v>5</v>
      </c>
      <c r="B9" s="15" t="s">
        <v>1591</v>
      </c>
      <c r="C9" s="149" t="s">
        <v>1579</v>
      </c>
      <c r="D9" s="149">
        <v>0.47</v>
      </c>
    </row>
    <row r="10" spans="1:26" ht="14.1" customHeight="1">
      <c r="A10" s="14">
        <f t="shared" si="0"/>
        <v>6</v>
      </c>
      <c r="B10" s="15" t="s">
        <v>1592</v>
      </c>
      <c r="C10" s="149" t="s">
        <v>1579</v>
      </c>
      <c r="D10" s="149">
        <v>0.43</v>
      </c>
    </row>
    <row r="11" spans="1:26" ht="14.1" customHeight="1">
      <c r="A11" s="14">
        <f t="shared" si="0"/>
        <v>7</v>
      </c>
      <c r="B11" s="15" t="s">
        <v>1593</v>
      </c>
      <c r="C11" s="149" t="s">
        <v>1579</v>
      </c>
      <c r="D11" s="149">
        <v>0.44</v>
      </c>
    </row>
    <row r="12" spans="1:26" ht="14.1" customHeight="1">
      <c r="A12" s="14">
        <f t="shared" si="0"/>
        <v>8</v>
      </c>
      <c r="B12" s="15" t="s">
        <v>1594</v>
      </c>
      <c r="C12" s="149" t="s">
        <v>1579</v>
      </c>
      <c r="D12" s="149">
        <v>0.4</v>
      </c>
    </row>
    <row r="13" spans="1:26" ht="14.1" customHeight="1">
      <c r="A13" s="14">
        <f t="shared" si="0"/>
        <v>9</v>
      </c>
      <c r="B13" s="15" t="s">
        <v>1595</v>
      </c>
      <c r="C13" s="149" t="s">
        <v>1579</v>
      </c>
      <c r="D13" s="149">
        <v>0.42</v>
      </c>
    </row>
    <row r="14" spans="1:26" ht="14.1" customHeight="1">
      <c r="A14" s="14">
        <f t="shared" si="0"/>
        <v>10</v>
      </c>
      <c r="B14" s="15" t="s">
        <v>1596</v>
      </c>
      <c r="C14" s="149" t="s">
        <v>1579</v>
      </c>
      <c r="D14" s="149">
        <v>0.38</v>
      </c>
    </row>
    <row r="15" spans="1:26" ht="14.1" customHeight="1">
      <c r="A15" s="14">
        <f t="shared" si="0"/>
        <v>11</v>
      </c>
      <c r="B15" s="15" t="s">
        <v>1597</v>
      </c>
      <c r="C15" s="149" t="s">
        <v>1579</v>
      </c>
      <c r="D15" s="149">
        <v>0.39</v>
      </c>
    </row>
    <row r="16" spans="1:26" ht="14.1" customHeight="1">
      <c r="A16" s="14">
        <f t="shared" si="0"/>
        <v>12</v>
      </c>
      <c r="B16" s="15" t="s">
        <v>1598</v>
      </c>
      <c r="C16" s="149" t="s">
        <v>1579</v>
      </c>
      <c r="D16" s="149">
        <v>0.36</v>
      </c>
    </row>
    <row r="17" spans="1:4" ht="14.1" customHeight="1">
      <c r="A17" s="14">
        <f t="shared" si="0"/>
        <v>13</v>
      </c>
      <c r="B17" s="15" t="s">
        <v>1599</v>
      </c>
      <c r="C17" s="149" t="s">
        <v>1579</v>
      </c>
      <c r="D17" s="149">
        <v>0.32</v>
      </c>
    </row>
    <row r="18" spans="1:4" ht="14.1" customHeight="1">
      <c r="A18" s="14">
        <f t="shared" si="0"/>
        <v>14</v>
      </c>
      <c r="B18" s="15" t="s">
        <v>1620</v>
      </c>
      <c r="C18" s="149" t="s">
        <v>1579</v>
      </c>
      <c r="D18" s="149">
        <v>0.48</v>
      </c>
    </row>
    <row r="19" spans="1:4" ht="14.1" customHeight="1">
      <c r="A19" s="14">
        <f t="shared" si="0"/>
        <v>15</v>
      </c>
      <c r="B19" s="15" t="s">
        <v>3167</v>
      </c>
      <c r="C19" s="152" t="s">
        <v>3168</v>
      </c>
      <c r="D19" s="149">
        <v>0.5</v>
      </c>
    </row>
    <row r="20" spans="1:4" ht="14.1" customHeight="1">
      <c r="A20" s="14">
        <f t="shared" si="0"/>
        <v>16</v>
      </c>
      <c r="B20" s="101" t="s">
        <v>2062</v>
      </c>
      <c r="C20" s="149"/>
      <c r="D20" s="149"/>
    </row>
    <row r="21" spans="1:4" ht="14.1" customHeight="1">
      <c r="A21" s="14">
        <f t="shared" si="0"/>
        <v>17</v>
      </c>
      <c r="B21" s="15" t="s">
        <v>1578</v>
      </c>
      <c r="C21" s="149" t="s">
        <v>1579</v>
      </c>
      <c r="D21" s="149">
        <v>1.18</v>
      </c>
    </row>
    <row r="22" spans="1:4" ht="14.1" customHeight="1">
      <c r="A22" s="14">
        <f t="shared" si="0"/>
        <v>18</v>
      </c>
      <c r="B22" s="15" t="s">
        <v>1580</v>
      </c>
      <c r="C22" s="149" t="s">
        <v>1579</v>
      </c>
      <c r="D22" s="149">
        <v>1.1100000000000001</v>
      </c>
    </row>
    <row r="23" spans="1:4" ht="14.1" customHeight="1">
      <c r="A23" s="14">
        <f t="shared" si="0"/>
        <v>19</v>
      </c>
      <c r="B23" s="15" t="s">
        <v>1581</v>
      </c>
      <c r="C23" s="149" t="s">
        <v>1579</v>
      </c>
      <c r="D23" s="149">
        <v>0.67</v>
      </c>
    </row>
    <row r="24" spans="1:4" ht="14.1" customHeight="1">
      <c r="A24" s="14">
        <f t="shared" si="0"/>
        <v>20</v>
      </c>
      <c r="B24" s="15" t="s">
        <v>1582</v>
      </c>
      <c r="C24" s="149" t="s">
        <v>1579</v>
      </c>
      <c r="D24" s="149">
        <v>0.64</v>
      </c>
    </row>
    <row r="25" spans="1:4" ht="14.1" customHeight="1">
      <c r="A25" s="14">
        <f t="shared" si="0"/>
        <v>21</v>
      </c>
      <c r="B25" s="15" t="s">
        <v>1583</v>
      </c>
      <c r="C25" s="149" t="s">
        <v>1579</v>
      </c>
      <c r="D25" s="149">
        <v>0.59</v>
      </c>
    </row>
    <row r="26" spans="1:4" ht="14.1" customHeight="1">
      <c r="A26" s="14">
        <f t="shared" si="0"/>
        <v>22</v>
      </c>
      <c r="B26" s="15" t="s">
        <v>1584</v>
      </c>
      <c r="C26" s="149" t="s">
        <v>1579</v>
      </c>
      <c r="D26" s="149">
        <v>0.54</v>
      </c>
    </row>
    <row r="27" spans="1:4" ht="14.1" customHeight="1">
      <c r="A27" s="14">
        <f t="shared" si="0"/>
        <v>23</v>
      </c>
      <c r="B27" s="15" t="s">
        <v>1585</v>
      </c>
      <c r="C27" s="149" t="s">
        <v>1579</v>
      </c>
      <c r="D27" s="149">
        <v>0.57999999999999996</v>
      </c>
    </row>
    <row r="28" spans="1:4" ht="14.1" customHeight="1">
      <c r="A28" s="14">
        <f t="shared" si="0"/>
        <v>24</v>
      </c>
      <c r="B28" s="15" t="s">
        <v>1586</v>
      </c>
      <c r="C28" s="149" t="s">
        <v>1579</v>
      </c>
      <c r="D28" s="149">
        <v>0.52</v>
      </c>
    </row>
    <row r="29" spans="1:4" ht="14.1" customHeight="1">
      <c r="A29" s="14">
        <f t="shared" si="0"/>
        <v>25</v>
      </c>
      <c r="B29" s="15" t="s">
        <v>1587</v>
      </c>
      <c r="C29" s="149" t="s">
        <v>1579</v>
      </c>
      <c r="D29" s="149">
        <v>0.56000000000000005</v>
      </c>
    </row>
    <row r="30" spans="1:4" ht="14.1" customHeight="1">
      <c r="A30" s="14">
        <f t="shared" si="0"/>
        <v>26</v>
      </c>
      <c r="B30" s="15" t="s">
        <v>1588</v>
      </c>
      <c r="C30" s="149" t="s">
        <v>1579</v>
      </c>
      <c r="D30" s="149">
        <v>0.5</v>
      </c>
    </row>
    <row r="31" spans="1:4" ht="14.1" customHeight="1">
      <c r="A31" s="14">
        <f t="shared" si="0"/>
        <v>27</v>
      </c>
      <c r="B31" s="15" t="s">
        <v>1589</v>
      </c>
      <c r="C31" s="149" t="s">
        <v>1579</v>
      </c>
      <c r="D31" s="149">
        <v>0.51</v>
      </c>
    </row>
    <row r="32" spans="1:4" ht="14.1" customHeight="1">
      <c r="A32" s="14">
        <f t="shared" si="0"/>
        <v>28</v>
      </c>
      <c r="B32" s="15" t="s">
        <v>1590</v>
      </c>
      <c r="C32" s="149" t="s">
        <v>1579</v>
      </c>
      <c r="D32" s="149">
        <v>0.48</v>
      </c>
    </row>
    <row r="33" spans="1:4" ht="14.1" customHeight="1">
      <c r="A33" s="14">
        <f t="shared" si="0"/>
        <v>29</v>
      </c>
      <c r="B33" s="15" t="s">
        <v>1591</v>
      </c>
      <c r="C33" s="149" t="s">
        <v>1579</v>
      </c>
      <c r="D33" s="149">
        <v>0.47</v>
      </c>
    </row>
    <row r="34" spans="1:4" ht="14.1" customHeight="1">
      <c r="A34" s="14">
        <f t="shared" si="0"/>
        <v>30</v>
      </c>
      <c r="B34" s="15" t="s">
        <v>1592</v>
      </c>
      <c r="C34" s="149" t="s">
        <v>1579</v>
      </c>
      <c r="D34" s="149">
        <v>0.43</v>
      </c>
    </row>
    <row r="35" spans="1:4" ht="14.1" customHeight="1">
      <c r="A35" s="14">
        <f t="shared" si="0"/>
        <v>31</v>
      </c>
      <c r="B35" s="15" t="s">
        <v>1593</v>
      </c>
      <c r="C35" s="149" t="s">
        <v>1579</v>
      </c>
      <c r="D35" s="149">
        <v>0.44</v>
      </c>
    </row>
    <row r="36" spans="1:4" ht="14.1" customHeight="1">
      <c r="A36" s="14">
        <f t="shared" si="0"/>
        <v>32</v>
      </c>
      <c r="B36" s="15" t="s">
        <v>1594</v>
      </c>
      <c r="C36" s="149" t="s">
        <v>1579</v>
      </c>
      <c r="D36" s="149">
        <v>0.4</v>
      </c>
    </row>
    <row r="37" spans="1:4" ht="14.1" customHeight="1">
      <c r="A37" s="14">
        <f t="shared" si="0"/>
        <v>33</v>
      </c>
      <c r="B37" s="15" t="s">
        <v>1595</v>
      </c>
      <c r="C37" s="149" t="s">
        <v>1579</v>
      </c>
      <c r="D37" s="149">
        <v>0.42</v>
      </c>
    </row>
    <row r="38" spans="1:4" ht="14.1" customHeight="1">
      <c r="A38" s="14">
        <f t="shared" si="0"/>
        <v>34</v>
      </c>
      <c r="B38" s="15" t="s">
        <v>1596</v>
      </c>
      <c r="C38" s="149" t="s">
        <v>1579</v>
      </c>
      <c r="D38" s="149">
        <v>0.38</v>
      </c>
    </row>
    <row r="39" spans="1:4" ht="14.1" customHeight="1">
      <c r="A39" s="14">
        <f t="shared" si="0"/>
        <v>35</v>
      </c>
      <c r="B39" s="15" t="s">
        <v>1597</v>
      </c>
      <c r="C39" s="149" t="s">
        <v>1579</v>
      </c>
      <c r="D39" s="149">
        <v>0.39</v>
      </c>
    </row>
    <row r="40" spans="1:4" ht="14.1" customHeight="1">
      <c r="A40" s="14">
        <f t="shared" si="0"/>
        <v>36</v>
      </c>
      <c r="B40" s="15" t="s">
        <v>1598</v>
      </c>
      <c r="C40" s="149" t="s">
        <v>1579</v>
      </c>
      <c r="D40" s="149">
        <v>0.36</v>
      </c>
    </row>
    <row r="41" spans="1:4" ht="14.1" customHeight="1">
      <c r="A41" s="14">
        <f t="shared" si="0"/>
        <v>37</v>
      </c>
      <c r="B41" s="15" t="s">
        <v>1599</v>
      </c>
      <c r="C41" s="149" t="s">
        <v>1579</v>
      </c>
      <c r="D41" s="149">
        <v>0.32</v>
      </c>
    </row>
    <row r="42" spans="1:4" ht="14.1" customHeight="1">
      <c r="A42" s="14">
        <f t="shared" si="0"/>
        <v>38</v>
      </c>
      <c r="B42" s="15" t="s">
        <v>1600</v>
      </c>
      <c r="C42" s="149" t="s">
        <v>1579</v>
      </c>
      <c r="D42" s="149">
        <v>1.4</v>
      </c>
    </row>
    <row r="43" spans="1:4" ht="14.1" customHeight="1">
      <c r="A43" s="14">
        <f t="shared" si="0"/>
        <v>39</v>
      </c>
      <c r="B43" s="15" t="s">
        <v>1601</v>
      </c>
      <c r="C43" s="149" t="s">
        <v>1579</v>
      </c>
      <c r="D43" s="149">
        <v>1.34</v>
      </c>
    </row>
    <row r="44" spans="1:4" ht="14.1" customHeight="1">
      <c r="A44" s="14">
        <f t="shared" si="0"/>
        <v>40</v>
      </c>
      <c r="B44" s="15" t="s">
        <v>1602</v>
      </c>
      <c r="C44" s="149" t="s">
        <v>1579</v>
      </c>
      <c r="D44" s="149">
        <v>0.84</v>
      </c>
    </row>
    <row r="45" spans="1:4" ht="14.1" customHeight="1">
      <c r="A45" s="14">
        <f t="shared" si="0"/>
        <v>41</v>
      </c>
      <c r="B45" s="15" t="s">
        <v>1603</v>
      </c>
      <c r="C45" s="149" t="s">
        <v>1579</v>
      </c>
      <c r="D45" s="149">
        <v>0.8</v>
      </c>
    </row>
    <row r="46" spans="1:4" ht="14.1" customHeight="1">
      <c r="A46" s="14">
        <f t="shared" si="0"/>
        <v>42</v>
      </c>
      <c r="B46" s="15" t="s">
        <v>1604</v>
      </c>
      <c r="C46" s="149" t="s">
        <v>1579</v>
      </c>
      <c r="D46" s="149">
        <v>0.75</v>
      </c>
    </row>
    <row r="47" spans="1:4" ht="14.1" customHeight="1">
      <c r="A47" s="14">
        <f t="shared" si="0"/>
        <v>43</v>
      </c>
      <c r="B47" s="15" t="s">
        <v>1605</v>
      </c>
      <c r="C47" s="149" t="s">
        <v>1579</v>
      </c>
      <c r="D47" s="149">
        <v>0.7</v>
      </c>
    </row>
    <row r="48" spans="1:4" ht="14.1" customHeight="1">
      <c r="A48" s="14">
        <f t="shared" si="0"/>
        <v>44</v>
      </c>
      <c r="B48" s="15" t="s">
        <v>1606</v>
      </c>
      <c r="C48" s="149" t="s">
        <v>1579</v>
      </c>
      <c r="D48" s="149">
        <v>0.74</v>
      </c>
    </row>
    <row r="49" spans="1:4" ht="14.1" customHeight="1">
      <c r="A49" s="14">
        <f t="shared" si="0"/>
        <v>45</v>
      </c>
      <c r="B49" s="15" t="s">
        <v>1607</v>
      </c>
      <c r="C49" s="149" t="s">
        <v>1579</v>
      </c>
      <c r="D49" s="149">
        <v>0.68</v>
      </c>
    </row>
    <row r="50" spans="1:4" ht="14.1" customHeight="1">
      <c r="A50" s="14">
        <f t="shared" si="0"/>
        <v>46</v>
      </c>
      <c r="B50" s="15" t="s">
        <v>1608</v>
      </c>
      <c r="C50" s="149" t="s">
        <v>1579</v>
      </c>
      <c r="D50" s="149">
        <v>0.73</v>
      </c>
    </row>
    <row r="51" spans="1:4" ht="14.1" customHeight="1">
      <c r="A51" s="14">
        <f t="shared" si="0"/>
        <v>47</v>
      </c>
      <c r="B51" s="15" t="s">
        <v>1609</v>
      </c>
      <c r="C51" s="149" t="s">
        <v>1579</v>
      </c>
      <c r="D51" s="149">
        <v>0.66</v>
      </c>
    </row>
    <row r="52" spans="1:4" ht="14.1" customHeight="1">
      <c r="A52" s="14">
        <f t="shared" si="0"/>
        <v>48</v>
      </c>
      <c r="B52" s="15" t="s">
        <v>1610</v>
      </c>
      <c r="C52" s="149" t="s">
        <v>1579</v>
      </c>
      <c r="D52" s="149">
        <v>0.67</v>
      </c>
    </row>
    <row r="53" spans="1:4" ht="14.1" customHeight="1">
      <c r="A53" s="14">
        <f t="shared" si="0"/>
        <v>49</v>
      </c>
      <c r="B53" s="15" t="s">
        <v>1611</v>
      </c>
      <c r="C53" s="149" t="s">
        <v>1579</v>
      </c>
      <c r="D53" s="149">
        <v>0.64</v>
      </c>
    </row>
    <row r="54" spans="1:4" ht="14.1" customHeight="1">
      <c r="A54" s="14">
        <f t="shared" si="0"/>
        <v>50</v>
      </c>
      <c r="B54" s="15" t="s">
        <v>1612</v>
      </c>
      <c r="C54" s="149" t="s">
        <v>1579</v>
      </c>
      <c r="D54" s="149">
        <v>0.63</v>
      </c>
    </row>
    <row r="55" spans="1:4" ht="14.1" customHeight="1">
      <c r="A55" s="14">
        <f t="shared" si="0"/>
        <v>51</v>
      </c>
      <c r="B55" s="15" t="s">
        <v>1613</v>
      </c>
      <c r="C55" s="149" t="s">
        <v>1579</v>
      </c>
      <c r="D55" s="149">
        <v>0.59</v>
      </c>
    </row>
    <row r="56" spans="1:4" ht="14.1" customHeight="1">
      <c r="A56" s="14">
        <f t="shared" si="0"/>
        <v>52</v>
      </c>
      <c r="B56" s="15" t="s">
        <v>1614</v>
      </c>
      <c r="C56" s="149" t="s">
        <v>1579</v>
      </c>
      <c r="D56" s="149">
        <v>0.6</v>
      </c>
    </row>
    <row r="57" spans="1:4" ht="14.1" customHeight="1">
      <c r="A57" s="14">
        <f t="shared" si="0"/>
        <v>53</v>
      </c>
      <c r="B57" s="15" t="s">
        <v>1615</v>
      </c>
      <c r="C57" s="149" t="s">
        <v>1579</v>
      </c>
      <c r="D57" s="149">
        <v>0.56000000000000005</v>
      </c>
    </row>
    <row r="58" spans="1:4" ht="14.1" customHeight="1">
      <c r="A58" s="14">
        <f t="shared" si="0"/>
        <v>54</v>
      </c>
      <c r="B58" s="15" t="s">
        <v>1616</v>
      </c>
      <c r="C58" s="149" t="s">
        <v>1579</v>
      </c>
      <c r="D58" s="149">
        <v>0.57999999999999996</v>
      </c>
    </row>
    <row r="59" spans="1:4" ht="14.1" customHeight="1">
      <c r="A59" s="14">
        <f t="shared" si="0"/>
        <v>55</v>
      </c>
      <c r="B59" s="15" t="s">
        <v>1617</v>
      </c>
      <c r="C59" s="149" t="s">
        <v>1579</v>
      </c>
      <c r="D59" s="149">
        <v>0.54</v>
      </c>
    </row>
    <row r="60" spans="1:4" ht="14.1" customHeight="1">
      <c r="A60" s="14">
        <f t="shared" si="0"/>
        <v>56</v>
      </c>
      <c r="B60" s="15" t="s">
        <v>1618</v>
      </c>
      <c r="C60" s="149" t="s">
        <v>1579</v>
      </c>
      <c r="D60" s="149">
        <v>0.55000000000000004</v>
      </c>
    </row>
    <row r="61" spans="1:4" ht="14.1" customHeight="1">
      <c r="A61" s="14">
        <f t="shared" si="0"/>
        <v>57</v>
      </c>
      <c r="B61" s="15" t="s">
        <v>1619</v>
      </c>
      <c r="C61" s="149" t="s">
        <v>1579</v>
      </c>
      <c r="D61" s="149">
        <v>0.52</v>
      </c>
    </row>
    <row r="62" spans="1:4" ht="14.1" customHeight="1">
      <c r="A62" s="14">
        <f t="shared" si="0"/>
        <v>58</v>
      </c>
      <c r="B62" s="15" t="s">
        <v>1620</v>
      </c>
      <c r="C62" s="149" t="s">
        <v>1579</v>
      </c>
      <c r="D62" s="149">
        <v>0.48</v>
      </c>
    </row>
    <row r="63" spans="1:4" ht="14.1" customHeight="1">
      <c r="A63" s="14">
        <f t="shared" si="0"/>
        <v>59</v>
      </c>
      <c r="B63" s="15" t="s">
        <v>1621</v>
      </c>
      <c r="C63" s="149" t="s">
        <v>1579</v>
      </c>
      <c r="D63" s="149">
        <v>1.51</v>
      </c>
    </row>
    <row r="64" spans="1:4" ht="14.1" customHeight="1">
      <c r="A64" s="14">
        <f t="shared" si="0"/>
        <v>60</v>
      </c>
      <c r="B64" s="15" t="s">
        <v>1622</v>
      </c>
      <c r="C64" s="149" t="s">
        <v>1579</v>
      </c>
      <c r="D64" s="149">
        <v>1.45</v>
      </c>
    </row>
    <row r="65" spans="1:4" ht="14.1" customHeight="1">
      <c r="A65" s="14">
        <f t="shared" si="0"/>
        <v>61</v>
      </c>
      <c r="B65" s="15" t="s">
        <v>1623</v>
      </c>
      <c r="C65" s="149" t="s">
        <v>1579</v>
      </c>
      <c r="D65" s="149">
        <v>0.89</v>
      </c>
    </row>
    <row r="66" spans="1:4" ht="14.1" customHeight="1">
      <c r="A66" s="14">
        <f t="shared" ref="A66:A130" si="1">A65+1</f>
        <v>62</v>
      </c>
      <c r="B66" s="15" t="s">
        <v>1624</v>
      </c>
      <c r="C66" s="149" t="s">
        <v>1579</v>
      </c>
      <c r="D66" s="149">
        <v>0.86</v>
      </c>
    </row>
    <row r="67" spans="1:4" ht="14.1" customHeight="1">
      <c r="A67" s="14">
        <f t="shared" si="1"/>
        <v>63</v>
      </c>
      <c r="B67" s="15" t="s">
        <v>1625</v>
      </c>
      <c r="C67" s="149" t="s">
        <v>1579</v>
      </c>
      <c r="D67" s="149">
        <v>0.8</v>
      </c>
    </row>
    <row r="68" spans="1:4" ht="14.1" customHeight="1">
      <c r="A68" s="14">
        <f t="shared" si="1"/>
        <v>64</v>
      </c>
      <c r="B68" s="15" t="s">
        <v>1626</v>
      </c>
      <c r="C68" s="149" t="s">
        <v>1579</v>
      </c>
      <c r="D68" s="149">
        <v>0.75</v>
      </c>
    </row>
    <row r="69" spans="1:4" ht="14.1" customHeight="1">
      <c r="A69" s="14">
        <f t="shared" si="1"/>
        <v>65</v>
      </c>
      <c r="B69" s="15" t="s">
        <v>1627</v>
      </c>
      <c r="C69" s="149" t="s">
        <v>1579</v>
      </c>
      <c r="D69" s="149">
        <v>0.79</v>
      </c>
    </row>
    <row r="70" spans="1:4" ht="14.1" customHeight="1">
      <c r="A70" s="14">
        <f t="shared" si="1"/>
        <v>66</v>
      </c>
      <c r="B70" s="15" t="s">
        <v>1628</v>
      </c>
      <c r="C70" s="149" t="s">
        <v>1579</v>
      </c>
      <c r="D70" s="149">
        <v>0.73</v>
      </c>
    </row>
    <row r="71" spans="1:4" ht="14.1" customHeight="1">
      <c r="A71" s="14">
        <f t="shared" si="1"/>
        <v>67</v>
      </c>
      <c r="B71" s="15" t="s">
        <v>1629</v>
      </c>
      <c r="C71" s="149" t="s">
        <v>1579</v>
      </c>
      <c r="D71" s="149">
        <v>0.78</v>
      </c>
    </row>
    <row r="72" spans="1:4" ht="14.1" customHeight="1">
      <c r="A72" s="14">
        <f t="shared" si="1"/>
        <v>68</v>
      </c>
      <c r="B72" s="15" t="s">
        <v>1630</v>
      </c>
      <c r="C72" s="149" t="s">
        <v>1579</v>
      </c>
      <c r="D72" s="149">
        <v>0.71</v>
      </c>
    </row>
    <row r="73" spans="1:4" ht="14.1" customHeight="1">
      <c r="A73" s="14">
        <f t="shared" si="1"/>
        <v>69</v>
      </c>
      <c r="B73" s="15" t="s">
        <v>1631</v>
      </c>
      <c r="C73" s="149" t="s">
        <v>1579</v>
      </c>
      <c r="D73" s="149">
        <v>0.7</v>
      </c>
    </row>
    <row r="74" spans="1:4" ht="14.1" customHeight="1">
      <c r="A74" s="14">
        <f t="shared" si="1"/>
        <v>70</v>
      </c>
      <c r="B74" s="15" t="s">
        <v>1632</v>
      </c>
      <c r="C74" s="149" t="s">
        <v>1579</v>
      </c>
      <c r="D74" s="149">
        <v>0.69</v>
      </c>
    </row>
    <row r="75" spans="1:4" ht="14.1" customHeight="1">
      <c r="A75" s="14">
        <f t="shared" si="1"/>
        <v>71</v>
      </c>
      <c r="B75" s="15" t="s">
        <v>1633</v>
      </c>
      <c r="C75" s="149" t="s">
        <v>1579</v>
      </c>
      <c r="D75" s="149">
        <v>0.68</v>
      </c>
    </row>
    <row r="76" spans="1:4" ht="14.1" customHeight="1">
      <c r="A76" s="14">
        <f t="shared" si="1"/>
        <v>72</v>
      </c>
      <c r="B76" s="15" t="s">
        <v>1634</v>
      </c>
      <c r="C76" s="149" t="s">
        <v>1579</v>
      </c>
      <c r="D76" s="149">
        <v>0.63</v>
      </c>
    </row>
    <row r="77" spans="1:4" ht="14.1" customHeight="1">
      <c r="A77" s="14">
        <f t="shared" si="1"/>
        <v>73</v>
      </c>
      <c r="B77" s="15" t="s">
        <v>1635</v>
      </c>
      <c r="C77" s="149" t="s">
        <v>1579</v>
      </c>
      <c r="D77" s="149">
        <v>0.64</v>
      </c>
    </row>
    <row r="78" spans="1:4" ht="14.1" customHeight="1">
      <c r="A78" s="14">
        <f t="shared" si="1"/>
        <v>74</v>
      </c>
      <c r="B78" s="15" t="s">
        <v>1636</v>
      </c>
      <c r="C78" s="149" t="s">
        <v>1579</v>
      </c>
      <c r="D78" s="149">
        <v>0.6</v>
      </c>
    </row>
    <row r="79" spans="1:4" ht="14.1" customHeight="1">
      <c r="A79" s="14">
        <f t="shared" si="1"/>
        <v>75</v>
      </c>
      <c r="B79" s="15" t="s">
        <v>1637</v>
      </c>
      <c r="C79" s="149" t="s">
        <v>1579</v>
      </c>
      <c r="D79" s="149">
        <v>0.62</v>
      </c>
    </row>
    <row r="80" spans="1:4" ht="14.1" customHeight="1">
      <c r="A80" s="14">
        <f t="shared" si="1"/>
        <v>76</v>
      </c>
      <c r="B80" s="15" t="s">
        <v>1638</v>
      </c>
      <c r="C80" s="149" t="s">
        <v>1579</v>
      </c>
      <c r="D80" s="149">
        <v>0.57999999999999996</v>
      </c>
    </row>
    <row r="81" spans="1:4" ht="14.1" customHeight="1">
      <c r="A81" s="14">
        <f t="shared" si="1"/>
        <v>77</v>
      </c>
      <c r="B81" s="15" t="s">
        <v>1639</v>
      </c>
      <c r="C81" s="149" t="s">
        <v>1579</v>
      </c>
      <c r="D81" s="149">
        <v>0.59</v>
      </c>
    </row>
    <row r="82" spans="1:4" ht="14.1" customHeight="1">
      <c r="A82" s="14">
        <f t="shared" si="1"/>
        <v>78</v>
      </c>
      <c r="B82" s="15" t="s">
        <v>1640</v>
      </c>
      <c r="C82" s="149" t="s">
        <v>1579</v>
      </c>
      <c r="D82" s="149">
        <v>0.56000000000000005</v>
      </c>
    </row>
    <row r="83" spans="1:4" ht="14.1" customHeight="1">
      <c r="A83" s="14">
        <f t="shared" si="1"/>
        <v>79</v>
      </c>
      <c r="B83" s="15" t="s">
        <v>1641</v>
      </c>
      <c r="C83" s="149" t="s">
        <v>1579</v>
      </c>
      <c r="D83" s="149">
        <v>0.52</v>
      </c>
    </row>
    <row r="84" spans="1:4" ht="14.1" customHeight="1">
      <c r="A84" s="14">
        <f t="shared" si="1"/>
        <v>80</v>
      </c>
      <c r="B84" s="15" t="s">
        <v>1642</v>
      </c>
      <c r="C84" s="149" t="s">
        <v>1579</v>
      </c>
      <c r="D84" s="149">
        <v>1.58</v>
      </c>
    </row>
    <row r="85" spans="1:4" ht="14.1" customHeight="1">
      <c r="A85" s="14">
        <f t="shared" si="1"/>
        <v>81</v>
      </c>
      <c r="B85" s="15" t="s">
        <v>1643</v>
      </c>
      <c r="C85" s="149" t="s">
        <v>1579</v>
      </c>
      <c r="D85" s="149">
        <v>1.52</v>
      </c>
    </row>
    <row r="86" spans="1:4" ht="14.1" customHeight="1">
      <c r="A86" s="14">
        <f t="shared" si="1"/>
        <v>82</v>
      </c>
      <c r="B86" s="15" t="s">
        <v>1644</v>
      </c>
      <c r="C86" s="149" t="s">
        <v>1579</v>
      </c>
      <c r="D86" s="149">
        <v>1.05</v>
      </c>
    </row>
    <row r="87" spans="1:4" ht="14.1" customHeight="1">
      <c r="A87" s="14">
        <f t="shared" si="1"/>
        <v>83</v>
      </c>
      <c r="B87" s="15" t="s">
        <v>1645</v>
      </c>
      <c r="C87" s="149" t="s">
        <v>1579</v>
      </c>
      <c r="D87" s="149">
        <v>1.02</v>
      </c>
    </row>
    <row r="88" spans="1:4" ht="14.1" customHeight="1">
      <c r="A88" s="14">
        <f t="shared" si="1"/>
        <v>84</v>
      </c>
      <c r="B88" s="15" t="s">
        <v>1646</v>
      </c>
      <c r="C88" s="149" t="s">
        <v>1579</v>
      </c>
      <c r="D88" s="149">
        <v>0.96</v>
      </c>
    </row>
    <row r="89" spans="1:4" ht="14.1" customHeight="1">
      <c r="A89" s="14">
        <f t="shared" si="1"/>
        <v>85</v>
      </c>
      <c r="B89" s="15" t="s">
        <v>1647</v>
      </c>
      <c r="C89" s="149" t="s">
        <v>1579</v>
      </c>
      <c r="D89" s="149">
        <v>0.91</v>
      </c>
    </row>
    <row r="90" spans="1:4" ht="14.1" customHeight="1">
      <c r="A90" s="14">
        <f t="shared" si="1"/>
        <v>86</v>
      </c>
      <c r="B90" s="15" t="s">
        <v>1648</v>
      </c>
      <c r="C90" s="149" t="s">
        <v>1579</v>
      </c>
      <c r="D90" s="149">
        <v>0.94</v>
      </c>
    </row>
    <row r="91" spans="1:4" ht="14.1" customHeight="1">
      <c r="A91" s="14">
        <f t="shared" si="1"/>
        <v>87</v>
      </c>
      <c r="B91" s="15" t="s">
        <v>1649</v>
      </c>
      <c r="C91" s="149" t="s">
        <v>1579</v>
      </c>
      <c r="D91" s="149">
        <v>0.89</v>
      </c>
    </row>
    <row r="92" spans="1:4" ht="14.1" customHeight="1">
      <c r="A92" s="14">
        <f t="shared" si="1"/>
        <v>88</v>
      </c>
      <c r="B92" s="15" t="s">
        <v>1650</v>
      </c>
      <c r="C92" s="149" t="s">
        <v>1579</v>
      </c>
      <c r="D92" s="149">
        <v>0.93</v>
      </c>
    </row>
    <row r="93" spans="1:4" ht="14.1" customHeight="1">
      <c r="A93" s="14">
        <f t="shared" si="1"/>
        <v>89</v>
      </c>
      <c r="B93" s="15" t="s">
        <v>1651</v>
      </c>
      <c r="C93" s="149" t="s">
        <v>1579</v>
      </c>
      <c r="D93" s="149">
        <v>0.87</v>
      </c>
    </row>
    <row r="94" spans="1:4" ht="14.1" customHeight="1">
      <c r="A94" s="14">
        <f t="shared" si="1"/>
        <v>90</v>
      </c>
      <c r="B94" s="15" t="s">
        <v>1652</v>
      </c>
      <c r="C94" s="149" t="s">
        <v>1579</v>
      </c>
      <c r="D94" s="149">
        <v>0.9</v>
      </c>
    </row>
    <row r="95" spans="1:4" ht="14.1" customHeight="1">
      <c r="A95" s="14">
        <f t="shared" si="1"/>
        <v>91</v>
      </c>
      <c r="B95" s="15" t="s">
        <v>1653</v>
      </c>
      <c r="C95" s="149" t="s">
        <v>1579</v>
      </c>
      <c r="D95" s="149">
        <v>0.87</v>
      </c>
    </row>
    <row r="96" spans="1:4" ht="14.1" customHeight="1">
      <c r="A96" s="14">
        <f t="shared" si="1"/>
        <v>92</v>
      </c>
      <c r="B96" s="15" t="s">
        <v>1654</v>
      </c>
      <c r="C96" s="149" t="s">
        <v>1579</v>
      </c>
      <c r="D96" s="149">
        <v>0.86</v>
      </c>
    </row>
    <row r="97" spans="1:6" ht="14.1" customHeight="1">
      <c r="A97" s="14">
        <f t="shared" si="1"/>
        <v>93</v>
      </c>
      <c r="B97" s="15" t="s">
        <v>1655</v>
      </c>
      <c r="C97" s="149" t="s">
        <v>1579</v>
      </c>
      <c r="D97" s="149">
        <v>0.82</v>
      </c>
    </row>
    <row r="98" spans="1:6" ht="14.1" customHeight="1">
      <c r="A98" s="14">
        <f t="shared" si="1"/>
        <v>94</v>
      </c>
      <c r="B98" s="15" t="s">
        <v>1656</v>
      </c>
      <c r="C98" s="149" t="s">
        <v>1579</v>
      </c>
      <c r="D98" s="149">
        <v>0.82</v>
      </c>
    </row>
    <row r="99" spans="1:6" ht="14.1" customHeight="1">
      <c r="A99" s="14">
        <f t="shared" si="1"/>
        <v>95</v>
      </c>
      <c r="B99" s="15" t="s">
        <v>1657</v>
      </c>
      <c r="C99" s="149" t="s">
        <v>1579</v>
      </c>
      <c r="D99" s="149">
        <v>0.79</v>
      </c>
    </row>
    <row r="100" spans="1:6" ht="14.1" customHeight="1">
      <c r="A100" s="14">
        <f t="shared" si="1"/>
        <v>96</v>
      </c>
      <c r="B100" s="15" t="s">
        <v>1658</v>
      </c>
      <c r="C100" s="149" t="s">
        <v>1579</v>
      </c>
      <c r="D100" s="149">
        <v>0.81</v>
      </c>
    </row>
    <row r="101" spans="1:6" ht="14.1" customHeight="1">
      <c r="A101" s="14">
        <f t="shared" si="1"/>
        <v>97</v>
      </c>
      <c r="B101" s="15" t="s">
        <v>1659</v>
      </c>
      <c r="C101" s="149" t="s">
        <v>1579</v>
      </c>
      <c r="D101" s="149">
        <v>0.77</v>
      </c>
    </row>
    <row r="102" spans="1:6" ht="14.1" customHeight="1">
      <c r="A102" s="14">
        <f t="shared" si="1"/>
        <v>98</v>
      </c>
      <c r="B102" s="15" t="s">
        <v>1660</v>
      </c>
      <c r="C102" s="149" t="s">
        <v>1579</v>
      </c>
      <c r="D102" s="149">
        <v>0.78</v>
      </c>
    </row>
    <row r="103" spans="1:6" ht="14.1" customHeight="1">
      <c r="A103" s="14">
        <f t="shared" si="1"/>
        <v>99</v>
      </c>
      <c r="B103" s="15" t="s">
        <v>1661</v>
      </c>
      <c r="C103" s="149" t="s">
        <v>1579</v>
      </c>
      <c r="D103" s="149">
        <v>0.74</v>
      </c>
    </row>
    <row r="104" spans="1:6" ht="14.1" customHeight="1">
      <c r="A104" s="14">
        <f t="shared" si="1"/>
        <v>100</v>
      </c>
      <c r="B104" s="15" t="s">
        <v>1662</v>
      </c>
      <c r="C104" s="149" t="s">
        <v>1579</v>
      </c>
      <c r="D104" s="149">
        <v>0.7</v>
      </c>
    </row>
    <row r="105" spans="1:6" ht="38.25" customHeight="1">
      <c r="A105" s="14">
        <f t="shared" si="1"/>
        <v>101</v>
      </c>
      <c r="B105" s="163" t="s">
        <v>2166</v>
      </c>
      <c r="D105" s="425" t="s">
        <v>2428</v>
      </c>
      <c r="E105" s="441" t="s">
        <v>2353</v>
      </c>
      <c r="F105" s="1055" t="str">
        <f>'Flat-Vaulted Ceilings'!$F$339</f>
        <v>Your entries appear at bottom of drowdown menus on "Group R" tab</v>
      </c>
    </row>
    <row r="106" spans="1:6" ht="14.1" customHeight="1">
      <c r="A106" s="14">
        <f t="shared" si="1"/>
        <v>102</v>
      </c>
      <c r="B106" s="39" t="s">
        <v>2585</v>
      </c>
      <c r="C106" s="16" t="s">
        <v>1679</v>
      </c>
      <c r="D106" s="195">
        <v>0.25</v>
      </c>
      <c r="E106" s="195"/>
      <c r="F106" s="203" t="str">
        <f t="shared" ref="F106:F169" si="2">IF(AND(B107&lt;&gt;"",B106=""),"Don't skip lines",IF(AND(D106="",B106&lt;&gt;""),"Enter U-value",IF(AND(D106&lt;&gt;"",B106=""),"Enter Description","")))</f>
        <v/>
      </c>
    </row>
    <row r="107" spans="1:6" ht="14.1" customHeight="1">
      <c r="A107" s="14">
        <f t="shared" si="1"/>
        <v>103</v>
      </c>
      <c r="B107" s="39" t="s">
        <v>2820</v>
      </c>
      <c r="C107" s="16" t="s">
        <v>1679</v>
      </c>
      <c r="D107" s="19">
        <v>1</v>
      </c>
      <c r="E107" s="19"/>
      <c r="F107" s="203" t="str">
        <f t="shared" si="2"/>
        <v/>
      </c>
    </row>
    <row r="108" spans="1:6" ht="14.1" customHeight="1">
      <c r="A108" s="14">
        <f t="shared" si="1"/>
        <v>104</v>
      </c>
      <c r="B108" s="18"/>
      <c r="C108" s="16" t="s">
        <v>1679</v>
      </c>
      <c r="D108" s="19"/>
      <c r="E108" s="19"/>
      <c r="F108" s="203" t="str">
        <f t="shared" si="2"/>
        <v/>
      </c>
    </row>
    <row r="109" spans="1:6" ht="14.1" customHeight="1">
      <c r="A109" s="14">
        <f t="shared" si="1"/>
        <v>105</v>
      </c>
      <c r="B109" s="18"/>
      <c r="C109" s="16" t="s">
        <v>1679</v>
      </c>
      <c r="D109" s="19"/>
      <c r="E109" s="19"/>
      <c r="F109" s="203" t="str">
        <f t="shared" si="2"/>
        <v/>
      </c>
    </row>
    <row r="110" spans="1:6" ht="14.1" customHeight="1">
      <c r="A110" s="14">
        <f t="shared" si="1"/>
        <v>106</v>
      </c>
      <c r="B110" s="18"/>
      <c r="C110" s="16" t="s">
        <v>1679</v>
      </c>
      <c r="D110" s="19"/>
      <c r="E110" s="19"/>
      <c r="F110" s="203" t="str">
        <f t="shared" si="2"/>
        <v/>
      </c>
    </row>
    <row r="111" spans="1:6" ht="14.1" customHeight="1">
      <c r="A111" s="14">
        <f t="shared" si="1"/>
        <v>107</v>
      </c>
      <c r="B111" s="18"/>
      <c r="C111" s="16" t="s">
        <v>1679</v>
      </c>
      <c r="D111" s="19"/>
      <c r="E111" s="19"/>
      <c r="F111" s="203" t="str">
        <f t="shared" si="2"/>
        <v/>
      </c>
    </row>
    <row r="112" spans="1:6" ht="14.1" customHeight="1">
      <c r="A112" s="14">
        <f t="shared" si="1"/>
        <v>108</v>
      </c>
      <c r="B112" s="18"/>
      <c r="C112" s="16" t="s">
        <v>1679</v>
      </c>
      <c r="D112" s="19"/>
      <c r="E112" s="19"/>
      <c r="F112" s="203" t="str">
        <f t="shared" si="2"/>
        <v/>
      </c>
    </row>
    <row r="113" spans="1:6" ht="14.1" customHeight="1">
      <c r="A113" s="14">
        <f t="shared" si="1"/>
        <v>109</v>
      </c>
      <c r="B113" s="18"/>
      <c r="C113" s="16" t="s">
        <v>1679</v>
      </c>
      <c r="D113" s="19"/>
      <c r="E113" s="19"/>
      <c r="F113" s="203" t="str">
        <f t="shared" si="2"/>
        <v/>
      </c>
    </row>
    <row r="114" spans="1:6" ht="14.1" customHeight="1">
      <c r="A114" s="14">
        <f t="shared" si="1"/>
        <v>110</v>
      </c>
      <c r="B114" s="18"/>
      <c r="C114" s="16" t="s">
        <v>1679</v>
      </c>
      <c r="D114" s="19"/>
      <c r="E114" s="19"/>
      <c r="F114" s="203" t="str">
        <f t="shared" si="2"/>
        <v/>
      </c>
    </row>
    <row r="115" spans="1:6" ht="14.1" customHeight="1">
      <c r="A115" s="14">
        <f t="shared" si="1"/>
        <v>111</v>
      </c>
      <c r="B115" s="18"/>
      <c r="C115" s="16" t="s">
        <v>1679</v>
      </c>
      <c r="D115" s="19"/>
      <c r="E115" s="19"/>
      <c r="F115" s="203" t="str">
        <f t="shared" si="2"/>
        <v/>
      </c>
    </row>
    <row r="116" spans="1:6" ht="14.1" customHeight="1">
      <c r="A116" s="14">
        <f t="shared" si="1"/>
        <v>112</v>
      </c>
      <c r="B116" s="18"/>
      <c r="C116" s="16" t="s">
        <v>1679</v>
      </c>
      <c r="D116" s="19"/>
      <c r="E116" s="19"/>
      <c r="F116" s="203" t="str">
        <f t="shared" si="2"/>
        <v/>
      </c>
    </row>
    <row r="117" spans="1:6" ht="14.1" customHeight="1">
      <c r="A117" s="14">
        <f t="shared" si="1"/>
        <v>113</v>
      </c>
      <c r="B117" s="18"/>
      <c r="C117" s="16" t="s">
        <v>1679</v>
      </c>
      <c r="D117" s="19"/>
      <c r="E117" s="19"/>
      <c r="F117" s="203" t="str">
        <f t="shared" si="2"/>
        <v/>
      </c>
    </row>
    <row r="118" spans="1:6" ht="14.1" customHeight="1">
      <c r="A118" s="14">
        <f t="shared" si="1"/>
        <v>114</v>
      </c>
      <c r="B118" s="18"/>
      <c r="C118" s="16" t="s">
        <v>1679</v>
      </c>
      <c r="D118" s="19"/>
      <c r="E118" s="19"/>
      <c r="F118" s="203" t="str">
        <f t="shared" si="2"/>
        <v/>
      </c>
    </row>
    <row r="119" spans="1:6" ht="14.1" customHeight="1">
      <c r="A119" s="14">
        <f t="shared" si="1"/>
        <v>115</v>
      </c>
      <c r="B119" s="18"/>
      <c r="C119" s="16" t="s">
        <v>1679</v>
      </c>
      <c r="D119" s="19"/>
      <c r="E119" s="19"/>
      <c r="F119" s="203" t="str">
        <f t="shared" si="2"/>
        <v/>
      </c>
    </row>
    <row r="120" spans="1:6" ht="14.1" customHeight="1">
      <c r="A120" s="14">
        <f t="shared" si="1"/>
        <v>116</v>
      </c>
      <c r="B120" s="18"/>
      <c r="C120" s="16" t="s">
        <v>1679</v>
      </c>
      <c r="D120" s="19"/>
      <c r="E120" s="19"/>
      <c r="F120" s="203" t="str">
        <f t="shared" si="2"/>
        <v/>
      </c>
    </row>
    <row r="121" spans="1:6" ht="14.1" customHeight="1">
      <c r="A121" s="14">
        <f t="shared" si="1"/>
        <v>117</v>
      </c>
      <c r="B121" s="18"/>
      <c r="C121" s="16" t="s">
        <v>1679</v>
      </c>
      <c r="D121" s="19"/>
      <c r="E121" s="19"/>
      <c r="F121" s="203" t="str">
        <f t="shared" si="2"/>
        <v/>
      </c>
    </row>
    <row r="122" spans="1:6" ht="14.1" customHeight="1">
      <c r="A122" s="14">
        <f t="shared" si="1"/>
        <v>118</v>
      </c>
      <c r="B122" s="18"/>
      <c r="C122" s="16" t="s">
        <v>1679</v>
      </c>
      <c r="D122" s="19"/>
      <c r="E122" s="19"/>
      <c r="F122" s="203" t="str">
        <f t="shared" si="2"/>
        <v/>
      </c>
    </row>
    <row r="123" spans="1:6" ht="14.1" customHeight="1">
      <c r="A123" s="14">
        <f t="shared" si="1"/>
        <v>119</v>
      </c>
      <c r="B123" s="18"/>
      <c r="C123" s="16" t="s">
        <v>1679</v>
      </c>
      <c r="D123" s="19"/>
      <c r="E123" s="19"/>
      <c r="F123" s="203" t="str">
        <f t="shared" si="2"/>
        <v/>
      </c>
    </row>
    <row r="124" spans="1:6" ht="14.1" customHeight="1">
      <c r="A124" s="14">
        <f t="shared" si="1"/>
        <v>120</v>
      </c>
      <c r="B124" s="18"/>
      <c r="C124" s="16" t="s">
        <v>1679</v>
      </c>
      <c r="D124" s="19"/>
      <c r="E124" s="19"/>
      <c r="F124" s="203" t="str">
        <f t="shared" si="2"/>
        <v/>
      </c>
    </row>
    <row r="125" spans="1:6" ht="14.1" customHeight="1">
      <c r="A125" s="14">
        <f t="shared" si="1"/>
        <v>121</v>
      </c>
      <c r="B125" s="18"/>
      <c r="C125" s="16" t="s">
        <v>1679</v>
      </c>
      <c r="D125" s="19"/>
      <c r="E125" s="19"/>
      <c r="F125" s="203" t="str">
        <f t="shared" si="2"/>
        <v/>
      </c>
    </row>
    <row r="126" spans="1:6" ht="14.1" customHeight="1">
      <c r="A126" s="14">
        <f t="shared" si="1"/>
        <v>122</v>
      </c>
      <c r="B126" s="18"/>
      <c r="C126" s="16" t="s">
        <v>1679</v>
      </c>
      <c r="D126" s="19"/>
      <c r="E126" s="19"/>
      <c r="F126" s="203" t="str">
        <f t="shared" si="2"/>
        <v/>
      </c>
    </row>
    <row r="127" spans="1:6" ht="14.1" customHeight="1">
      <c r="A127" s="14">
        <f t="shared" si="1"/>
        <v>123</v>
      </c>
      <c r="B127" s="18"/>
      <c r="C127" s="16" t="s">
        <v>1679</v>
      </c>
      <c r="D127" s="19"/>
      <c r="E127" s="19"/>
      <c r="F127" s="203" t="str">
        <f t="shared" si="2"/>
        <v/>
      </c>
    </row>
    <row r="128" spans="1:6" ht="14.1" customHeight="1">
      <c r="A128" s="14">
        <f t="shared" si="1"/>
        <v>124</v>
      </c>
      <c r="B128" s="18"/>
      <c r="C128" s="16" t="s">
        <v>1679</v>
      </c>
      <c r="D128" s="19"/>
      <c r="E128" s="19"/>
      <c r="F128" s="203" t="str">
        <f t="shared" si="2"/>
        <v/>
      </c>
    </row>
    <row r="129" spans="1:6" ht="14.1" customHeight="1">
      <c r="A129" s="14">
        <f t="shared" si="1"/>
        <v>125</v>
      </c>
      <c r="B129" s="18"/>
      <c r="C129" s="16" t="s">
        <v>1679</v>
      </c>
      <c r="D129" s="19"/>
      <c r="E129" s="19"/>
      <c r="F129" s="203" t="str">
        <f t="shared" si="2"/>
        <v/>
      </c>
    </row>
    <row r="130" spans="1:6" ht="14.1" customHeight="1">
      <c r="A130" s="14">
        <f t="shared" si="1"/>
        <v>126</v>
      </c>
      <c r="B130" s="18"/>
      <c r="C130" s="16" t="s">
        <v>1679</v>
      </c>
      <c r="D130" s="19"/>
      <c r="E130" s="19"/>
      <c r="F130" s="203" t="str">
        <f t="shared" si="2"/>
        <v/>
      </c>
    </row>
    <row r="131" spans="1:6" ht="14.1" customHeight="1">
      <c r="A131" s="14">
        <f t="shared" ref="A131:A194" si="3">A130+1</f>
        <v>127</v>
      </c>
      <c r="B131" s="18"/>
      <c r="C131" s="16" t="s">
        <v>1679</v>
      </c>
      <c r="D131" s="19"/>
      <c r="E131" s="19"/>
      <c r="F131" s="203" t="str">
        <f t="shared" si="2"/>
        <v/>
      </c>
    </row>
    <row r="132" spans="1:6" ht="14.1" customHeight="1">
      <c r="A132" s="14">
        <f t="shared" si="3"/>
        <v>128</v>
      </c>
      <c r="B132" s="18"/>
      <c r="C132" s="16" t="s">
        <v>1679</v>
      </c>
      <c r="D132" s="19"/>
      <c r="E132" s="19"/>
      <c r="F132" s="203" t="str">
        <f t="shared" si="2"/>
        <v/>
      </c>
    </row>
    <row r="133" spans="1:6" ht="14.1" customHeight="1">
      <c r="A133" s="14">
        <f t="shared" si="3"/>
        <v>129</v>
      </c>
      <c r="B133" s="18"/>
      <c r="C133" s="16" t="s">
        <v>1679</v>
      </c>
      <c r="D133" s="19"/>
      <c r="E133" s="19"/>
      <c r="F133" s="203" t="str">
        <f t="shared" si="2"/>
        <v/>
      </c>
    </row>
    <row r="134" spans="1:6" ht="14.1" customHeight="1">
      <c r="A134" s="14">
        <f t="shared" si="3"/>
        <v>130</v>
      </c>
      <c r="B134" s="18"/>
      <c r="C134" s="16" t="s">
        <v>1679</v>
      </c>
      <c r="D134" s="19"/>
      <c r="E134" s="19"/>
      <c r="F134" s="203" t="str">
        <f t="shared" si="2"/>
        <v/>
      </c>
    </row>
    <row r="135" spans="1:6" ht="14.1" customHeight="1">
      <c r="A135" s="14">
        <f t="shared" si="3"/>
        <v>131</v>
      </c>
      <c r="B135" s="18"/>
      <c r="C135" s="16" t="s">
        <v>1679</v>
      </c>
      <c r="D135" s="19"/>
      <c r="E135" s="19"/>
      <c r="F135" s="203" t="str">
        <f t="shared" si="2"/>
        <v/>
      </c>
    </row>
    <row r="136" spans="1:6" ht="14.1" customHeight="1">
      <c r="A136" s="14">
        <f t="shared" si="3"/>
        <v>132</v>
      </c>
      <c r="B136" s="18"/>
      <c r="C136" s="16" t="s">
        <v>1679</v>
      </c>
      <c r="D136" s="19"/>
      <c r="E136" s="19"/>
      <c r="F136" s="203" t="str">
        <f t="shared" si="2"/>
        <v/>
      </c>
    </row>
    <row r="137" spans="1:6" ht="14.1" customHeight="1">
      <c r="A137" s="14">
        <f t="shared" si="3"/>
        <v>133</v>
      </c>
      <c r="B137" s="18"/>
      <c r="C137" s="16" t="s">
        <v>1679</v>
      </c>
      <c r="D137" s="19"/>
      <c r="E137" s="19"/>
      <c r="F137" s="203" t="str">
        <f t="shared" si="2"/>
        <v/>
      </c>
    </row>
    <row r="138" spans="1:6" ht="14.1" customHeight="1">
      <c r="A138" s="14">
        <f t="shared" si="3"/>
        <v>134</v>
      </c>
      <c r="B138" s="18"/>
      <c r="C138" s="16" t="s">
        <v>1679</v>
      </c>
      <c r="D138" s="19"/>
      <c r="E138" s="19"/>
      <c r="F138" s="203" t="str">
        <f t="shared" si="2"/>
        <v/>
      </c>
    </row>
    <row r="139" spans="1:6" ht="14.1" customHeight="1">
      <c r="A139" s="14">
        <f t="shared" si="3"/>
        <v>135</v>
      </c>
      <c r="B139" s="18"/>
      <c r="C139" s="16" t="s">
        <v>1679</v>
      </c>
      <c r="D139" s="19"/>
      <c r="E139" s="19"/>
      <c r="F139" s="203" t="str">
        <f t="shared" si="2"/>
        <v/>
      </c>
    </row>
    <row r="140" spans="1:6" ht="14.1" customHeight="1">
      <c r="A140" s="14">
        <f t="shared" si="3"/>
        <v>136</v>
      </c>
      <c r="B140" s="18"/>
      <c r="C140" s="16" t="s">
        <v>1679</v>
      </c>
      <c r="D140" s="19"/>
      <c r="E140" s="19"/>
      <c r="F140" s="203" t="str">
        <f t="shared" si="2"/>
        <v/>
      </c>
    </row>
    <row r="141" spans="1:6" ht="14.1" customHeight="1">
      <c r="A141" s="14">
        <f t="shared" si="3"/>
        <v>137</v>
      </c>
      <c r="B141" s="18"/>
      <c r="C141" s="16" t="s">
        <v>1679</v>
      </c>
      <c r="D141" s="19"/>
      <c r="E141" s="19"/>
      <c r="F141" s="203" t="str">
        <f t="shared" si="2"/>
        <v/>
      </c>
    </row>
    <row r="142" spans="1:6" ht="14.1" customHeight="1">
      <c r="A142" s="14">
        <f t="shared" si="3"/>
        <v>138</v>
      </c>
      <c r="B142" s="18"/>
      <c r="C142" s="16" t="s">
        <v>1679</v>
      </c>
      <c r="D142" s="19"/>
      <c r="E142" s="19"/>
      <c r="F142" s="203" t="str">
        <f t="shared" si="2"/>
        <v/>
      </c>
    </row>
    <row r="143" spans="1:6" ht="14.1" customHeight="1">
      <c r="A143" s="14">
        <f t="shared" si="3"/>
        <v>139</v>
      </c>
      <c r="B143" s="18"/>
      <c r="C143" s="16" t="s">
        <v>1679</v>
      </c>
      <c r="D143" s="19"/>
      <c r="E143" s="19"/>
      <c r="F143" s="203" t="str">
        <f t="shared" si="2"/>
        <v/>
      </c>
    </row>
    <row r="144" spans="1:6" ht="14.1" customHeight="1">
      <c r="A144" s="14">
        <f t="shared" si="3"/>
        <v>140</v>
      </c>
      <c r="B144" s="18"/>
      <c r="C144" s="16" t="s">
        <v>1679</v>
      </c>
      <c r="D144" s="19"/>
      <c r="E144" s="19"/>
      <c r="F144" s="203" t="str">
        <f t="shared" si="2"/>
        <v/>
      </c>
    </row>
    <row r="145" spans="1:6" ht="14.1" customHeight="1">
      <c r="A145" s="14">
        <f t="shared" si="3"/>
        <v>141</v>
      </c>
      <c r="B145" s="18"/>
      <c r="C145" s="16" t="s">
        <v>1679</v>
      </c>
      <c r="D145" s="19"/>
      <c r="E145" s="19"/>
      <c r="F145" s="203" t="str">
        <f t="shared" si="2"/>
        <v/>
      </c>
    </row>
    <row r="146" spans="1:6" ht="14.1" customHeight="1">
      <c r="A146" s="14">
        <f t="shared" si="3"/>
        <v>142</v>
      </c>
      <c r="B146" s="18"/>
      <c r="C146" s="16" t="s">
        <v>1679</v>
      </c>
      <c r="D146" s="19"/>
      <c r="E146" s="19"/>
      <c r="F146" s="203" t="str">
        <f t="shared" si="2"/>
        <v/>
      </c>
    </row>
    <row r="147" spans="1:6" ht="14.1" customHeight="1">
      <c r="A147" s="14">
        <f t="shared" si="3"/>
        <v>143</v>
      </c>
      <c r="B147" s="18"/>
      <c r="C147" s="16" t="s">
        <v>1679</v>
      </c>
      <c r="D147" s="19"/>
      <c r="E147" s="19"/>
      <c r="F147" s="203" t="str">
        <f t="shared" si="2"/>
        <v/>
      </c>
    </row>
    <row r="148" spans="1:6" ht="14.1" customHeight="1">
      <c r="A148" s="14">
        <f t="shared" si="3"/>
        <v>144</v>
      </c>
      <c r="B148" s="18"/>
      <c r="C148" s="16" t="s">
        <v>1679</v>
      </c>
      <c r="D148" s="19"/>
      <c r="E148" s="19"/>
      <c r="F148" s="203" t="str">
        <f t="shared" si="2"/>
        <v/>
      </c>
    </row>
    <row r="149" spans="1:6" ht="14.1" customHeight="1">
      <c r="A149" s="14">
        <f t="shared" si="3"/>
        <v>145</v>
      </c>
      <c r="B149" s="18"/>
      <c r="C149" s="16" t="s">
        <v>1679</v>
      </c>
      <c r="D149" s="19"/>
      <c r="E149" s="19"/>
      <c r="F149" s="203" t="str">
        <f t="shared" si="2"/>
        <v/>
      </c>
    </row>
    <row r="150" spans="1:6" ht="14.1" customHeight="1">
      <c r="A150" s="14">
        <f t="shared" si="3"/>
        <v>146</v>
      </c>
      <c r="B150" s="18"/>
      <c r="C150" s="16" t="s">
        <v>1679</v>
      </c>
      <c r="D150" s="19"/>
      <c r="E150" s="19"/>
      <c r="F150" s="203" t="str">
        <f t="shared" si="2"/>
        <v/>
      </c>
    </row>
    <row r="151" spans="1:6" ht="14.1" customHeight="1">
      <c r="A151" s="14">
        <f t="shared" si="3"/>
        <v>147</v>
      </c>
      <c r="B151" s="18"/>
      <c r="C151" s="16" t="s">
        <v>1679</v>
      </c>
      <c r="D151" s="19"/>
      <c r="E151" s="19"/>
      <c r="F151" s="203" t="str">
        <f t="shared" si="2"/>
        <v/>
      </c>
    </row>
    <row r="152" spans="1:6" ht="14.1" customHeight="1">
      <c r="A152" s="14">
        <f t="shared" si="3"/>
        <v>148</v>
      </c>
      <c r="B152" s="18"/>
      <c r="C152" s="16" t="s">
        <v>1679</v>
      </c>
      <c r="D152" s="19"/>
      <c r="E152" s="19"/>
      <c r="F152" s="203" t="str">
        <f t="shared" si="2"/>
        <v/>
      </c>
    </row>
    <row r="153" spans="1:6" ht="14.1" customHeight="1">
      <c r="A153" s="14">
        <f t="shared" si="3"/>
        <v>149</v>
      </c>
      <c r="B153" s="18"/>
      <c r="C153" s="16" t="s">
        <v>1679</v>
      </c>
      <c r="D153" s="19"/>
      <c r="E153" s="19"/>
      <c r="F153" s="203" t="str">
        <f t="shared" si="2"/>
        <v/>
      </c>
    </row>
    <row r="154" spans="1:6" ht="14.1" customHeight="1">
      <c r="A154" s="14">
        <f t="shared" si="3"/>
        <v>150</v>
      </c>
      <c r="B154" s="18"/>
      <c r="C154" s="16" t="s">
        <v>1679</v>
      </c>
      <c r="D154" s="19"/>
      <c r="E154" s="19"/>
      <c r="F154" s="203" t="str">
        <f t="shared" si="2"/>
        <v/>
      </c>
    </row>
    <row r="155" spans="1:6" ht="14.1" customHeight="1">
      <c r="A155" s="14">
        <f t="shared" si="3"/>
        <v>151</v>
      </c>
      <c r="B155" s="18"/>
      <c r="C155" s="16" t="s">
        <v>1679</v>
      </c>
      <c r="D155" s="19"/>
      <c r="E155" s="19"/>
      <c r="F155" s="203" t="str">
        <f t="shared" si="2"/>
        <v/>
      </c>
    </row>
    <row r="156" spans="1:6" ht="14.1" customHeight="1">
      <c r="A156" s="14">
        <f t="shared" si="3"/>
        <v>152</v>
      </c>
      <c r="B156" s="18"/>
      <c r="C156" s="16" t="s">
        <v>1679</v>
      </c>
      <c r="D156" s="19"/>
      <c r="E156" s="19"/>
      <c r="F156" s="203" t="str">
        <f t="shared" si="2"/>
        <v/>
      </c>
    </row>
    <row r="157" spans="1:6" ht="14.1" customHeight="1">
      <c r="A157" s="14">
        <f t="shared" si="3"/>
        <v>153</v>
      </c>
      <c r="B157" s="18"/>
      <c r="C157" s="16" t="s">
        <v>1679</v>
      </c>
      <c r="D157" s="19"/>
      <c r="E157" s="19"/>
      <c r="F157" s="203" t="str">
        <f t="shared" si="2"/>
        <v/>
      </c>
    </row>
    <row r="158" spans="1:6" ht="14.1" customHeight="1">
      <c r="A158" s="14">
        <f t="shared" si="3"/>
        <v>154</v>
      </c>
      <c r="B158" s="18"/>
      <c r="C158" s="16" t="s">
        <v>1679</v>
      </c>
      <c r="D158" s="19"/>
      <c r="E158" s="19"/>
      <c r="F158" s="203" t="str">
        <f t="shared" si="2"/>
        <v/>
      </c>
    </row>
    <row r="159" spans="1:6" ht="14.1" customHeight="1">
      <c r="A159" s="14">
        <f t="shared" si="3"/>
        <v>155</v>
      </c>
      <c r="B159" s="18"/>
      <c r="C159" s="16" t="s">
        <v>1679</v>
      </c>
      <c r="D159" s="19"/>
      <c r="E159" s="19"/>
      <c r="F159" s="203" t="str">
        <f t="shared" si="2"/>
        <v/>
      </c>
    </row>
    <row r="160" spans="1:6" ht="14.1" customHeight="1">
      <c r="A160" s="14">
        <f t="shared" si="3"/>
        <v>156</v>
      </c>
      <c r="B160" s="18"/>
      <c r="C160" s="16" t="s">
        <v>1679</v>
      </c>
      <c r="D160" s="19"/>
      <c r="E160" s="19"/>
      <c r="F160" s="203" t="str">
        <f t="shared" si="2"/>
        <v/>
      </c>
    </row>
    <row r="161" spans="1:6" ht="14.1" customHeight="1">
      <c r="A161" s="14">
        <f t="shared" si="3"/>
        <v>157</v>
      </c>
      <c r="B161" s="18"/>
      <c r="C161" s="16" t="s">
        <v>1679</v>
      </c>
      <c r="D161" s="19"/>
      <c r="E161" s="19"/>
      <c r="F161" s="203" t="str">
        <f t="shared" si="2"/>
        <v/>
      </c>
    </row>
    <row r="162" spans="1:6" ht="14.1" customHeight="1">
      <c r="A162" s="14">
        <f t="shared" si="3"/>
        <v>158</v>
      </c>
      <c r="B162" s="18"/>
      <c r="C162" s="16" t="s">
        <v>1679</v>
      </c>
      <c r="D162" s="19"/>
      <c r="E162" s="19"/>
      <c r="F162" s="203" t="str">
        <f t="shared" si="2"/>
        <v/>
      </c>
    </row>
    <row r="163" spans="1:6" ht="14.1" customHeight="1">
      <c r="A163" s="14">
        <f t="shared" si="3"/>
        <v>159</v>
      </c>
      <c r="B163" s="18"/>
      <c r="C163" s="16" t="s">
        <v>1679</v>
      </c>
      <c r="D163" s="19"/>
      <c r="E163" s="19"/>
      <c r="F163" s="203" t="str">
        <f t="shared" si="2"/>
        <v/>
      </c>
    </row>
    <row r="164" spans="1:6" ht="14.1" customHeight="1">
      <c r="A164" s="14">
        <f t="shared" si="3"/>
        <v>160</v>
      </c>
      <c r="B164" s="18"/>
      <c r="C164" s="16" t="s">
        <v>1679</v>
      </c>
      <c r="D164" s="19"/>
      <c r="E164" s="19"/>
      <c r="F164" s="203" t="str">
        <f t="shared" si="2"/>
        <v/>
      </c>
    </row>
    <row r="165" spans="1:6" ht="14.1" customHeight="1">
      <c r="A165" s="14">
        <f t="shared" si="3"/>
        <v>161</v>
      </c>
      <c r="B165" s="18"/>
      <c r="C165" s="16" t="s">
        <v>1679</v>
      </c>
      <c r="D165" s="19"/>
      <c r="E165" s="19"/>
      <c r="F165" s="203" t="str">
        <f t="shared" si="2"/>
        <v/>
      </c>
    </row>
    <row r="166" spans="1:6" ht="14.1" customHeight="1">
      <c r="A166" s="14">
        <f t="shared" si="3"/>
        <v>162</v>
      </c>
      <c r="B166" s="18"/>
      <c r="C166" s="16" t="s">
        <v>1679</v>
      </c>
      <c r="D166" s="19"/>
      <c r="E166" s="19"/>
      <c r="F166" s="203" t="str">
        <f t="shared" si="2"/>
        <v/>
      </c>
    </row>
    <row r="167" spans="1:6" ht="14.1" customHeight="1">
      <c r="A167" s="14">
        <f t="shared" si="3"/>
        <v>163</v>
      </c>
      <c r="B167" s="18"/>
      <c r="C167" s="16" t="s">
        <v>1679</v>
      </c>
      <c r="D167" s="19"/>
      <c r="E167" s="19"/>
      <c r="F167" s="203" t="str">
        <f t="shared" si="2"/>
        <v/>
      </c>
    </row>
    <row r="168" spans="1:6" ht="14.1" customHeight="1">
      <c r="A168" s="14">
        <f t="shared" si="3"/>
        <v>164</v>
      </c>
      <c r="B168" s="18"/>
      <c r="C168" s="16" t="s">
        <v>1679</v>
      </c>
      <c r="D168" s="19"/>
      <c r="E168" s="19"/>
      <c r="F168" s="203" t="str">
        <f t="shared" si="2"/>
        <v/>
      </c>
    </row>
    <row r="169" spans="1:6" ht="14.1" customHeight="1">
      <c r="A169" s="14">
        <f t="shared" si="3"/>
        <v>165</v>
      </c>
      <c r="B169" s="18"/>
      <c r="C169" s="16" t="s">
        <v>1679</v>
      </c>
      <c r="D169" s="19"/>
      <c r="E169" s="19"/>
      <c r="F169" s="203" t="str">
        <f t="shared" si="2"/>
        <v/>
      </c>
    </row>
    <row r="170" spans="1:6" ht="14.1" customHeight="1">
      <c r="A170" s="14">
        <f t="shared" si="3"/>
        <v>166</v>
      </c>
      <c r="B170" s="18"/>
      <c r="C170" s="16" t="s">
        <v>1679</v>
      </c>
      <c r="D170" s="19"/>
      <c r="E170" s="19"/>
      <c r="F170" s="203" t="str">
        <f t="shared" ref="F170:F233" si="4">IF(AND(B171&lt;&gt;"",B170=""),"Don't skip lines",IF(AND(D170="",B170&lt;&gt;""),"Enter U-value",IF(AND(D170&lt;&gt;"",B170=""),"Enter Description","")))</f>
        <v/>
      </c>
    </row>
    <row r="171" spans="1:6" ht="14.1" customHeight="1">
      <c r="A171" s="14">
        <f t="shared" si="3"/>
        <v>167</v>
      </c>
      <c r="B171" s="18"/>
      <c r="C171" s="16" t="s">
        <v>1679</v>
      </c>
      <c r="D171" s="19"/>
      <c r="E171" s="19"/>
      <c r="F171" s="203" t="str">
        <f t="shared" si="4"/>
        <v/>
      </c>
    </row>
    <row r="172" spans="1:6" ht="14.1" customHeight="1">
      <c r="A172" s="14">
        <f t="shared" si="3"/>
        <v>168</v>
      </c>
      <c r="B172" s="18"/>
      <c r="C172" s="16" t="s">
        <v>1679</v>
      </c>
      <c r="D172" s="19"/>
      <c r="E172" s="19"/>
      <c r="F172" s="203" t="str">
        <f t="shared" si="4"/>
        <v/>
      </c>
    </row>
    <row r="173" spans="1:6" ht="14.1" customHeight="1">
      <c r="A173" s="14">
        <f t="shared" si="3"/>
        <v>169</v>
      </c>
      <c r="B173" s="18"/>
      <c r="C173" s="16" t="s">
        <v>1679</v>
      </c>
      <c r="D173" s="19"/>
      <c r="E173" s="19"/>
      <c r="F173" s="203" t="str">
        <f t="shared" si="4"/>
        <v/>
      </c>
    </row>
    <row r="174" spans="1:6" ht="14.1" customHeight="1">
      <c r="A174" s="14">
        <f t="shared" si="3"/>
        <v>170</v>
      </c>
      <c r="B174" s="18"/>
      <c r="C174" s="16" t="s">
        <v>1679</v>
      </c>
      <c r="D174" s="19"/>
      <c r="E174" s="19"/>
      <c r="F174" s="203" t="str">
        <f t="shared" si="4"/>
        <v/>
      </c>
    </row>
    <row r="175" spans="1:6" ht="14.1" customHeight="1">
      <c r="A175" s="14">
        <f t="shared" si="3"/>
        <v>171</v>
      </c>
      <c r="B175" s="18"/>
      <c r="C175" s="16" t="s">
        <v>1679</v>
      </c>
      <c r="D175" s="19"/>
      <c r="E175" s="19"/>
      <c r="F175" s="203" t="str">
        <f t="shared" si="4"/>
        <v/>
      </c>
    </row>
    <row r="176" spans="1:6" ht="14.1" customHeight="1">
      <c r="A176" s="14">
        <f t="shared" si="3"/>
        <v>172</v>
      </c>
      <c r="B176" s="18"/>
      <c r="C176" s="16" t="s">
        <v>1679</v>
      </c>
      <c r="D176" s="19"/>
      <c r="E176" s="19"/>
      <c r="F176" s="203" t="str">
        <f t="shared" si="4"/>
        <v/>
      </c>
    </row>
    <row r="177" spans="1:6" ht="14.1" customHeight="1">
      <c r="A177" s="14">
        <f t="shared" si="3"/>
        <v>173</v>
      </c>
      <c r="B177" s="18"/>
      <c r="C177" s="16" t="s">
        <v>1679</v>
      </c>
      <c r="D177" s="19"/>
      <c r="E177" s="19"/>
      <c r="F177" s="203" t="str">
        <f t="shared" si="4"/>
        <v/>
      </c>
    </row>
    <row r="178" spans="1:6" ht="14.1" customHeight="1">
      <c r="A178" s="14">
        <f t="shared" si="3"/>
        <v>174</v>
      </c>
      <c r="B178" s="18"/>
      <c r="C178" s="16" t="s">
        <v>1679</v>
      </c>
      <c r="D178" s="19"/>
      <c r="E178" s="19"/>
      <c r="F178" s="203" t="str">
        <f t="shared" si="4"/>
        <v/>
      </c>
    </row>
    <row r="179" spans="1:6" ht="14.1" customHeight="1">
      <c r="A179" s="14">
        <f t="shared" si="3"/>
        <v>175</v>
      </c>
      <c r="B179" s="18"/>
      <c r="C179" s="16" t="s">
        <v>1679</v>
      </c>
      <c r="D179" s="19"/>
      <c r="E179" s="19"/>
      <c r="F179" s="203" t="str">
        <f t="shared" si="4"/>
        <v/>
      </c>
    </row>
    <row r="180" spans="1:6" ht="14.1" customHeight="1">
      <c r="A180" s="14">
        <f t="shared" si="3"/>
        <v>176</v>
      </c>
      <c r="B180" s="18"/>
      <c r="C180" s="16" t="s">
        <v>1679</v>
      </c>
      <c r="D180" s="19"/>
      <c r="E180" s="19"/>
      <c r="F180" s="203" t="str">
        <f t="shared" si="4"/>
        <v/>
      </c>
    </row>
    <row r="181" spans="1:6" ht="14.1" customHeight="1">
      <c r="A181" s="14">
        <f t="shared" si="3"/>
        <v>177</v>
      </c>
      <c r="B181" s="18"/>
      <c r="C181" s="16" t="s">
        <v>1679</v>
      </c>
      <c r="D181" s="19"/>
      <c r="E181" s="19"/>
      <c r="F181" s="203" t="str">
        <f t="shared" si="4"/>
        <v/>
      </c>
    </row>
    <row r="182" spans="1:6" ht="14.1" customHeight="1">
      <c r="A182" s="14">
        <f t="shared" si="3"/>
        <v>178</v>
      </c>
      <c r="B182" s="18"/>
      <c r="C182" s="16" t="s">
        <v>1679</v>
      </c>
      <c r="D182" s="19"/>
      <c r="E182" s="19"/>
      <c r="F182" s="203" t="str">
        <f t="shared" si="4"/>
        <v/>
      </c>
    </row>
    <row r="183" spans="1:6" ht="14.1" customHeight="1">
      <c r="A183" s="14">
        <f t="shared" si="3"/>
        <v>179</v>
      </c>
      <c r="B183" s="18"/>
      <c r="C183" s="16" t="s">
        <v>1679</v>
      </c>
      <c r="D183" s="19"/>
      <c r="E183" s="19"/>
      <c r="F183" s="203" t="str">
        <f t="shared" si="4"/>
        <v/>
      </c>
    </row>
    <row r="184" spans="1:6" ht="14.1" customHeight="1">
      <c r="A184" s="14">
        <f t="shared" si="3"/>
        <v>180</v>
      </c>
      <c r="B184" s="18"/>
      <c r="C184" s="16" t="s">
        <v>1679</v>
      </c>
      <c r="D184" s="19"/>
      <c r="E184" s="19"/>
      <c r="F184" s="203" t="str">
        <f t="shared" si="4"/>
        <v/>
      </c>
    </row>
    <row r="185" spans="1:6" ht="14.1" customHeight="1">
      <c r="A185" s="14">
        <f t="shared" si="3"/>
        <v>181</v>
      </c>
      <c r="B185" s="18"/>
      <c r="C185" s="16" t="s">
        <v>1679</v>
      </c>
      <c r="D185" s="19"/>
      <c r="E185" s="19"/>
      <c r="F185" s="203" t="str">
        <f t="shared" si="4"/>
        <v/>
      </c>
    </row>
    <row r="186" spans="1:6" ht="14.1" customHeight="1">
      <c r="A186" s="14">
        <f t="shared" si="3"/>
        <v>182</v>
      </c>
      <c r="B186" s="18"/>
      <c r="C186" s="16" t="s">
        <v>1679</v>
      </c>
      <c r="D186" s="19"/>
      <c r="E186" s="19"/>
      <c r="F186" s="203" t="str">
        <f t="shared" si="4"/>
        <v/>
      </c>
    </row>
    <row r="187" spans="1:6" ht="14.1" customHeight="1">
      <c r="A187" s="14">
        <f t="shared" si="3"/>
        <v>183</v>
      </c>
      <c r="B187" s="18"/>
      <c r="C187" s="16" t="s">
        <v>1679</v>
      </c>
      <c r="D187" s="19"/>
      <c r="E187" s="19"/>
      <c r="F187" s="203" t="str">
        <f t="shared" si="4"/>
        <v/>
      </c>
    </row>
    <row r="188" spans="1:6" ht="14.1" customHeight="1">
      <c r="A188" s="14">
        <f t="shared" si="3"/>
        <v>184</v>
      </c>
      <c r="B188" s="18"/>
      <c r="C188" s="16" t="s">
        <v>1679</v>
      </c>
      <c r="D188" s="19"/>
      <c r="E188" s="19"/>
      <c r="F188" s="203" t="str">
        <f t="shared" si="4"/>
        <v/>
      </c>
    </row>
    <row r="189" spans="1:6" ht="14.1" customHeight="1">
      <c r="A189" s="14">
        <f t="shared" si="3"/>
        <v>185</v>
      </c>
      <c r="B189" s="18"/>
      <c r="C189" s="16" t="s">
        <v>1679</v>
      </c>
      <c r="D189" s="19"/>
      <c r="E189" s="19"/>
      <c r="F189" s="203" t="str">
        <f t="shared" si="4"/>
        <v/>
      </c>
    </row>
    <row r="190" spans="1:6" ht="14.1" customHeight="1">
      <c r="A190" s="14">
        <f t="shared" si="3"/>
        <v>186</v>
      </c>
      <c r="B190" s="18"/>
      <c r="C190" s="16" t="s">
        <v>1679</v>
      </c>
      <c r="D190" s="19"/>
      <c r="E190" s="19"/>
      <c r="F190" s="203" t="str">
        <f t="shared" si="4"/>
        <v/>
      </c>
    </row>
    <row r="191" spans="1:6" ht="14.1" customHeight="1">
      <c r="A191" s="14">
        <f t="shared" si="3"/>
        <v>187</v>
      </c>
      <c r="B191" s="18"/>
      <c r="C191" s="16" t="s">
        <v>1679</v>
      </c>
      <c r="D191" s="19"/>
      <c r="E191" s="19"/>
      <c r="F191" s="203" t="str">
        <f t="shared" si="4"/>
        <v/>
      </c>
    </row>
    <row r="192" spans="1:6" ht="14.1" customHeight="1">
      <c r="A192" s="14">
        <f t="shared" si="3"/>
        <v>188</v>
      </c>
      <c r="B192" s="18"/>
      <c r="C192" s="16" t="s">
        <v>1679</v>
      </c>
      <c r="D192" s="19"/>
      <c r="E192" s="19"/>
      <c r="F192" s="203" t="str">
        <f t="shared" si="4"/>
        <v/>
      </c>
    </row>
    <row r="193" spans="1:6" ht="14.1" customHeight="1">
      <c r="A193" s="14">
        <f t="shared" si="3"/>
        <v>189</v>
      </c>
      <c r="B193" s="18"/>
      <c r="C193" s="16" t="s">
        <v>1679</v>
      </c>
      <c r="D193" s="19"/>
      <c r="E193" s="19"/>
      <c r="F193" s="203" t="str">
        <f t="shared" si="4"/>
        <v/>
      </c>
    </row>
    <row r="194" spans="1:6" ht="14.1" customHeight="1">
      <c r="A194" s="14">
        <f t="shared" si="3"/>
        <v>190</v>
      </c>
      <c r="B194" s="18"/>
      <c r="C194" s="16" t="s">
        <v>1679</v>
      </c>
      <c r="D194" s="19"/>
      <c r="E194" s="19"/>
      <c r="F194" s="203" t="str">
        <f t="shared" si="4"/>
        <v/>
      </c>
    </row>
    <row r="195" spans="1:6" ht="14.1" customHeight="1">
      <c r="A195" s="14">
        <f t="shared" ref="A195:A258" si="5">A194+1</f>
        <v>191</v>
      </c>
      <c r="B195" s="18"/>
      <c r="C195" s="16" t="s">
        <v>1679</v>
      </c>
      <c r="D195" s="19"/>
      <c r="E195" s="19"/>
      <c r="F195" s="203" t="str">
        <f t="shared" si="4"/>
        <v/>
      </c>
    </row>
    <row r="196" spans="1:6" ht="14.1" customHeight="1">
      <c r="A196" s="14">
        <f t="shared" si="5"/>
        <v>192</v>
      </c>
      <c r="B196" s="18"/>
      <c r="C196" s="16" t="s">
        <v>1679</v>
      </c>
      <c r="D196" s="19"/>
      <c r="E196" s="19"/>
      <c r="F196" s="203" t="str">
        <f t="shared" si="4"/>
        <v/>
      </c>
    </row>
    <row r="197" spans="1:6" ht="14.1" customHeight="1">
      <c r="A197" s="14">
        <f t="shared" si="5"/>
        <v>193</v>
      </c>
      <c r="B197" s="18"/>
      <c r="C197" s="16" t="s">
        <v>1679</v>
      </c>
      <c r="D197" s="19"/>
      <c r="E197" s="19"/>
      <c r="F197" s="203" t="str">
        <f t="shared" si="4"/>
        <v/>
      </c>
    </row>
    <row r="198" spans="1:6" ht="14.1" customHeight="1">
      <c r="A198" s="14">
        <f t="shared" si="5"/>
        <v>194</v>
      </c>
      <c r="B198" s="18"/>
      <c r="C198" s="16" t="s">
        <v>1679</v>
      </c>
      <c r="D198" s="19"/>
      <c r="E198" s="19"/>
      <c r="F198" s="203" t="str">
        <f t="shared" si="4"/>
        <v/>
      </c>
    </row>
    <row r="199" spans="1:6" ht="14.1" customHeight="1">
      <c r="A199" s="14">
        <f t="shared" si="5"/>
        <v>195</v>
      </c>
      <c r="B199" s="18"/>
      <c r="C199" s="16" t="s">
        <v>1679</v>
      </c>
      <c r="D199" s="19"/>
      <c r="E199" s="19"/>
      <c r="F199" s="203" t="str">
        <f t="shared" si="4"/>
        <v/>
      </c>
    </row>
    <row r="200" spans="1:6" ht="14.1" customHeight="1">
      <c r="A200" s="14">
        <f t="shared" si="5"/>
        <v>196</v>
      </c>
      <c r="B200" s="18"/>
      <c r="C200" s="16" t="s">
        <v>1679</v>
      </c>
      <c r="D200" s="19"/>
      <c r="E200" s="19"/>
      <c r="F200" s="203" t="str">
        <f t="shared" si="4"/>
        <v/>
      </c>
    </row>
    <row r="201" spans="1:6" ht="14.1" customHeight="1">
      <c r="A201" s="14">
        <f t="shared" si="5"/>
        <v>197</v>
      </c>
      <c r="B201" s="18"/>
      <c r="C201" s="16" t="s">
        <v>1679</v>
      </c>
      <c r="D201" s="19"/>
      <c r="E201" s="19"/>
      <c r="F201" s="203" t="str">
        <f t="shared" si="4"/>
        <v/>
      </c>
    </row>
    <row r="202" spans="1:6" ht="14.1" customHeight="1">
      <c r="A202" s="14">
        <f t="shared" si="5"/>
        <v>198</v>
      </c>
      <c r="B202" s="18"/>
      <c r="C202" s="16" t="s">
        <v>1679</v>
      </c>
      <c r="D202" s="19"/>
      <c r="E202" s="19"/>
      <c r="F202" s="203" t="str">
        <f t="shared" si="4"/>
        <v/>
      </c>
    </row>
    <row r="203" spans="1:6" ht="14.1" customHeight="1">
      <c r="A203" s="14">
        <f t="shared" si="5"/>
        <v>199</v>
      </c>
      <c r="B203" s="18"/>
      <c r="C203" s="16" t="s">
        <v>1679</v>
      </c>
      <c r="D203" s="19"/>
      <c r="E203" s="19"/>
      <c r="F203" s="203" t="str">
        <f t="shared" si="4"/>
        <v/>
      </c>
    </row>
    <row r="204" spans="1:6" ht="14.1" customHeight="1">
      <c r="A204" s="14">
        <f t="shared" si="5"/>
        <v>200</v>
      </c>
      <c r="B204" s="18"/>
      <c r="C204" s="16" t="s">
        <v>1679</v>
      </c>
      <c r="D204" s="19"/>
      <c r="E204" s="19"/>
      <c r="F204" s="203" t="str">
        <f t="shared" si="4"/>
        <v/>
      </c>
    </row>
    <row r="205" spans="1:6" ht="14.1" customHeight="1">
      <c r="A205" s="14">
        <f t="shared" si="5"/>
        <v>201</v>
      </c>
      <c r="B205" s="18"/>
      <c r="C205" s="16" t="s">
        <v>1679</v>
      </c>
      <c r="D205" s="19"/>
      <c r="E205" s="19"/>
      <c r="F205" s="203" t="str">
        <f t="shared" si="4"/>
        <v/>
      </c>
    </row>
    <row r="206" spans="1:6" ht="14.1" customHeight="1">
      <c r="A206" s="14">
        <f t="shared" si="5"/>
        <v>202</v>
      </c>
      <c r="B206" s="18"/>
      <c r="C206" s="16" t="s">
        <v>1679</v>
      </c>
      <c r="D206" s="19"/>
      <c r="E206" s="19"/>
      <c r="F206" s="203" t="str">
        <f t="shared" si="4"/>
        <v/>
      </c>
    </row>
    <row r="207" spans="1:6" ht="14.1" customHeight="1">
      <c r="A207" s="14">
        <f t="shared" si="5"/>
        <v>203</v>
      </c>
      <c r="B207" s="18"/>
      <c r="C207" s="16" t="s">
        <v>1679</v>
      </c>
      <c r="D207" s="19"/>
      <c r="E207" s="19"/>
      <c r="F207" s="203" t="str">
        <f t="shared" si="4"/>
        <v/>
      </c>
    </row>
    <row r="208" spans="1:6" ht="14.1" customHeight="1">
      <c r="A208" s="14">
        <f t="shared" si="5"/>
        <v>204</v>
      </c>
      <c r="B208" s="18"/>
      <c r="C208" s="16" t="s">
        <v>1679</v>
      </c>
      <c r="D208" s="19"/>
      <c r="E208" s="19"/>
      <c r="F208" s="203" t="str">
        <f t="shared" si="4"/>
        <v/>
      </c>
    </row>
    <row r="209" spans="1:6" ht="14.1" customHeight="1">
      <c r="A209" s="14">
        <f t="shared" si="5"/>
        <v>205</v>
      </c>
      <c r="B209" s="18"/>
      <c r="C209" s="16" t="s">
        <v>1679</v>
      </c>
      <c r="D209" s="19"/>
      <c r="E209" s="19"/>
      <c r="F209" s="203" t="str">
        <f t="shared" si="4"/>
        <v/>
      </c>
    </row>
    <row r="210" spans="1:6" ht="14.1" customHeight="1">
      <c r="A210" s="14">
        <f t="shared" si="5"/>
        <v>206</v>
      </c>
      <c r="B210" s="18"/>
      <c r="C210" s="16" t="s">
        <v>1679</v>
      </c>
      <c r="D210" s="19"/>
      <c r="E210" s="19"/>
      <c r="F210" s="203" t="str">
        <f t="shared" si="4"/>
        <v/>
      </c>
    </row>
    <row r="211" spans="1:6" ht="14.1" customHeight="1">
      <c r="A211" s="14">
        <f t="shared" si="5"/>
        <v>207</v>
      </c>
      <c r="B211" s="18"/>
      <c r="C211" s="16" t="s">
        <v>1679</v>
      </c>
      <c r="D211" s="19"/>
      <c r="E211" s="19"/>
      <c r="F211" s="203" t="str">
        <f t="shared" si="4"/>
        <v/>
      </c>
    </row>
    <row r="212" spans="1:6" ht="14.1" customHeight="1">
      <c r="A212" s="14">
        <f t="shared" si="5"/>
        <v>208</v>
      </c>
      <c r="B212" s="18"/>
      <c r="C212" s="16" t="s">
        <v>1679</v>
      </c>
      <c r="D212" s="19"/>
      <c r="E212" s="19"/>
      <c r="F212" s="203" t="str">
        <f t="shared" si="4"/>
        <v/>
      </c>
    </row>
    <row r="213" spans="1:6" ht="14.1" customHeight="1">
      <c r="A213" s="14">
        <f t="shared" si="5"/>
        <v>209</v>
      </c>
      <c r="B213" s="18"/>
      <c r="C213" s="16" t="s">
        <v>1679</v>
      </c>
      <c r="D213" s="19"/>
      <c r="E213" s="19"/>
      <c r="F213" s="203" t="str">
        <f t="shared" si="4"/>
        <v/>
      </c>
    </row>
    <row r="214" spans="1:6" ht="14.1" customHeight="1">
      <c r="A214" s="14">
        <f t="shared" si="5"/>
        <v>210</v>
      </c>
      <c r="B214" s="18"/>
      <c r="C214" s="16" t="s">
        <v>1679</v>
      </c>
      <c r="D214" s="19"/>
      <c r="E214" s="19"/>
      <c r="F214" s="203" t="str">
        <f t="shared" si="4"/>
        <v/>
      </c>
    </row>
    <row r="215" spans="1:6" ht="14.1" customHeight="1">
      <c r="A215" s="14">
        <f t="shared" si="5"/>
        <v>211</v>
      </c>
      <c r="B215" s="18"/>
      <c r="C215" s="16" t="s">
        <v>1679</v>
      </c>
      <c r="D215" s="19"/>
      <c r="E215" s="19"/>
      <c r="F215" s="203" t="str">
        <f t="shared" si="4"/>
        <v/>
      </c>
    </row>
    <row r="216" spans="1:6" ht="14.1" customHeight="1">
      <c r="A216" s="14">
        <f t="shared" si="5"/>
        <v>212</v>
      </c>
      <c r="B216" s="18"/>
      <c r="C216" s="16" t="s">
        <v>1679</v>
      </c>
      <c r="D216" s="19"/>
      <c r="E216" s="19"/>
      <c r="F216" s="203" t="str">
        <f t="shared" si="4"/>
        <v/>
      </c>
    </row>
    <row r="217" spans="1:6" ht="14.1" customHeight="1">
      <c r="A217" s="14">
        <f t="shared" si="5"/>
        <v>213</v>
      </c>
      <c r="B217" s="18"/>
      <c r="C217" s="16" t="s">
        <v>1679</v>
      </c>
      <c r="D217" s="19"/>
      <c r="E217" s="19"/>
      <c r="F217" s="203" t="str">
        <f t="shared" si="4"/>
        <v/>
      </c>
    </row>
    <row r="218" spans="1:6" ht="14.1" customHeight="1">
      <c r="A218" s="14">
        <f t="shared" si="5"/>
        <v>214</v>
      </c>
      <c r="B218" s="18"/>
      <c r="C218" s="16" t="s">
        <v>1679</v>
      </c>
      <c r="D218" s="19"/>
      <c r="E218" s="19"/>
      <c r="F218" s="203" t="str">
        <f t="shared" si="4"/>
        <v/>
      </c>
    </row>
    <row r="219" spans="1:6" ht="14.1" customHeight="1">
      <c r="A219" s="14">
        <f t="shared" si="5"/>
        <v>215</v>
      </c>
      <c r="B219" s="18"/>
      <c r="C219" s="16" t="s">
        <v>1679</v>
      </c>
      <c r="D219" s="19"/>
      <c r="E219" s="19"/>
      <c r="F219" s="203" t="str">
        <f t="shared" si="4"/>
        <v/>
      </c>
    </row>
    <row r="220" spans="1:6" ht="14.1" customHeight="1">
      <c r="A220" s="14">
        <f t="shared" si="5"/>
        <v>216</v>
      </c>
      <c r="B220" s="18"/>
      <c r="C220" s="16" t="s">
        <v>1679</v>
      </c>
      <c r="D220" s="19"/>
      <c r="E220" s="19"/>
      <c r="F220" s="203" t="str">
        <f t="shared" si="4"/>
        <v/>
      </c>
    </row>
    <row r="221" spans="1:6" ht="14.1" customHeight="1">
      <c r="A221" s="14">
        <f t="shared" si="5"/>
        <v>217</v>
      </c>
      <c r="B221" s="18"/>
      <c r="C221" s="16" t="s">
        <v>1679</v>
      </c>
      <c r="D221" s="19"/>
      <c r="E221" s="19"/>
      <c r="F221" s="203" t="str">
        <f t="shared" si="4"/>
        <v/>
      </c>
    </row>
    <row r="222" spans="1:6" ht="14.1" customHeight="1">
      <c r="A222" s="14">
        <f t="shared" si="5"/>
        <v>218</v>
      </c>
      <c r="B222" s="18"/>
      <c r="C222" s="16" t="s">
        <v>1679</v>
      </c>
      <c r="D222" s="19"/>
      <c r="E222" s="19"/>
      <c r="F222" s="203" t="str">
        <f t="shared" si="4"/>
        <v/>
      </c>
    </row>
    <row r="223" spans="1:6" ht="14.1" customHeight="1">
      <c r="A223" s="14">
        <f t="shared" si="5"/>
        <v>219</v>
      </c>
      <c r="B223" s="18"/>
      <c r="C223" s="16" t="s">
        <v>1679</v>
      </c>
      <c r="D223" s="19"/>
      <c r="E223" s="19"/>
      <c r="F223" s="203" t="str">
        <f t="shared" si="4"/>
        <v/>
      </c>
    </row>
    <row r="224" spans="1:6" ht="14.1" customHeight="1">
      <c r="A224" s="14">
        <f t="shared" si="5"/>
        <v>220</v>
      </c>
      <c r="B224" s="18"/>
      <c r="C224" s="16" t="s">
        <v>1679</v>
      </c>
      <c r="D224" s="19"/>
      <c r="E224" s="19"/>
      <c r="F224" s="203" t="str">
        <f t="shared" si="4"/>
        <v/>
      </c>
    </row>
    <row r="225" spans="1:6" ht="14.1" customHeight="1">
      <c r="A225" s="14">
        <f t="shared" si="5"/>
        <v>221</v>
      </c>
      <c r="B225" s="18"/>
      <c r="C225" s="16" t="s">
        <v>1679</v>
      </c>
      <c r="D225" s="19"/>
      <c r="E225" s="19"/>
      <c r="F225" s="203" t="str">
        <f t="shared" si="4"/>
        <v/>
      </c>
    </row>
    <row r="226" spans="1:6" ht="14.1" customHeight="1">
      <c r="A226" s="14">
        <f t="shared" si="5"/>
        <v>222</v>
      </c>
      <c r="B226" s="18"/>
      <c r="C226" s="16" t="s">
        <v>1679</v>
      </c>
      <c r="D226" s="19"/>
      <c r="E226" s="19"/>
      <c r="F226" s="203" t="str">
        <f t="shared" si="4"/>
        <v/>
      </c>
    </row>
    <row r="227" spans="1:6" ht="14.1" customHeight="1">
      <c r="A227" s="14">
        <f t="shared" si="5"/>
        <v>223</v>
      </c>
      <c r="B227" s="18"/>
      <c r="C227" s="16" t="s">
        <v>1679</v>
      </c>
      <c r="D227" s="19"/>
      <c r="E227" s="19"/>
      <c r="F227" s="203" t="str">
        <f t="shared" si="4"/>
        <v/>
      </c>
    </row>
    <row r="228" spans="1:6" ht="14.1" customHeight="1">
      <c r="A228" s="14">
        <f t="shared" si="5"/>
        <v>224</v>
      </c>
      <c r="B228" s="18"/>
      <c r="C228" s="16" t="s">
        <v>1679</v>
      </c>
      <c r="D228" s="19"/>
      <c r="E228" s="19"/>
      <c r="F228" s="203" t="str">
        <f t="shared" si="4"/>
        <v/>
      </c>
    </row>
    <row r="229" spans="1:6" ht="14.1" customHeight="1">
      <c r="A229" s="14">
        <f t="shared" si="5"/>
        <v>225</v>
      </c>
      <c r="B229" s="18"/>
      <c r="C229" s="16" t="s">
        <v>1679</v>
      </c>
      <c r="D229" s="19"/>
      <c r="E229" s="19"/>
      <c r="F229" s="203" t="str">
        <f t="shared" si="4"/>
        <v/>
      </c>
    </row>
    <row r="230" spans="1:6" ht="14.1" customHeight="1">
      <c r="A230" s="14">
        <f t="shared" si="5"/>
        <v>226</v>
      </c>
      <c r="B230" s="18"/>
      <c r="C230" s="16" t="s">
        <v>1679</v>
      </c>
      <c r="D230" s="19"/>
      <c r="E230" s="19"/>
      <c r="F230" s="203" t="str">
        <f t="shared" si="4"/>
        <v/>
      </c>
    </row>
    <row r="231" spans="1:6" ht="14.1" customHeight="1">
      <c r="A231" s="14">
        <f t="shared" si="5"/>
        <v>227</v>
      </c>
      <c r="B231" s="18"/>
      <c r="C231" s="16" t="s">
        <v>1679</v>
      </c>
      <c r="D231" s="19"/>
      <c r="E231" s="19"/>
      <c r="F231" s="203" t="str">
        <f t="shared" si="4"/>
        <v/>
      </c>
    </row>
    <row r="232" spans="1:6" ht="14.1" customHeight="1">
      <c r="A232" s="14">
        <f t="shared" si="5"/>
        <v>228</v>
      </c>
      <c r="B232" s="18"/>
      <c r="C232" s="16" t="s">
        <v>1679</v>
      </c>
      <c r="D232" s="19"/>
      <c r="E232" s="19"/>
      <c r="F232" s="203" t="str">
        <f t="shared" si="4"/>
        <v/>
      </c>
    </row>
    <row r="233" spans="1:6" ht="14.1" customHeight="1">
      <c r="A233" s="14">
        <f t="shared" si="5"/>
        <v>229</v>
      </c>
      <c r="B233" s="18"/>
      <c r="C233" s="16" t="s">
        <v>1679</v>
      </c>
      <c r="D233" s="19"/>
      <c r="E233" s="19"/>
      <c r="F233" s="203" t="str">
        <f t="shared" si="4"/>
        <v/>
      </c>
    </row>
    <row r="234" spans="1:6" ht="14.1" customHeight="1">
      <c r="A234" s="14">
        <f t="shared" si="5"/>
        <v>230</v>
      </c>
      <c r="B234" s="18"/>
      <c r="C234" s="16" t="s">
        <v>1679</v>
      </c>
      <c r="D234" s="19"/>
      <c r="E234" s="19"/>
      <c r="F234" s="203" t="str">
        <f t="shared" ref="F234:F297" si="6">IF(AND(B235&lt;&gt;"",B234=""),"Don't skip lines",IF(AND(D234="",B234&lt;&gt;""),"Enter U-value",IF(AND(D234&lt;&gt;"",B234=""),"Enter Description","")))</f>
        <v/>
      </c>
    </row>
    <row r="235" spans="1:6" ht="14.1" customHeight="1">
      <c r="A235" s="14">
        <f t="shared" si="5"/>
        <v>231</v>
      </c>
      <c r="B235" s="18"/>
      <c r="C235" s="16" t="s">
        <v>1679</v>
      </c>
      <c r="D235" s="19"/>
      <c r="E235" s="19"/>
      <c r="F235" s="203" t="str">
        <f t="shared" si="6"/>
        <v/>
      </c>
    </row>
    <row r="236" spans="1:6" ht="14.1" customHeight="1">
      <c r="A236" s="14">
        <f t="shared" si="5"/>
        <v>232</v>
      </c>
      <c r="B236" s="18"/>
      <c r="C236" s="16" t="s">
        <v>1679</v>
      </c>
      <c r="D236" s="19"/>
      <c r="E236" s="19"/>
      <c r="F236" s="203" t="str">
        <f t="shared" si="6"/>
        <v/>
      </c>
    </row>
    <row r="237" spans="1:6" ht="14.1" customHeight="1">
      <c r="A237" s="14">
        <f t="shared" si="5"/>
        <v>233</v>
      </c>
      <c r="B237" s="18"/>
      <c r="C237" s="16" t="s">
        <v>1679</v>
      </c>
      <c r="D237" s="19"/>
      <c r="E237" s="19"/>
      <c r="F237" s="203" t="str">
        <f t="shared" si="6"/>
        <v/>
      </c>
    </row>
    <row r="238" spans="1:6" ht="14.1" customHeight="1">
      <c r="A238" s="14">
        <f t="shared" si="5"/>
        <v>234</v>
      </c>
      <c r="B238" s="18"/>
      <c r="C238" s="16" t="s">
        <v>1679</v>
      </c>
      <c r="D238" s="19"/>
      <c r="E238" s="19"/>
      <c r="F238" s="203" t="str">
        <f t="shared" si="6"/>
        <v/>
      </c>
    </row>
    <row r="239" spans="1:6" ht="14.1" customHeight="1">
      <c r="A239" s="14">
        <f t="shared" si="5"/>
        <v>235</v>
      </c>
      <c r="B239" s="18"/>
      <c r="C239" s="16" t="s">
        <v>1679</v>
      </c>
      <c r="D239" s="19"/>
      <c r="E239" s="19"/>
      <c r="F239" s="203" t="str">
        <f t="shared" si="6"/>
        <v/>
      </c>
    </row>
    <row r="240" spans="1:6" ht="14.1" customHeight="1">
      <c r="A240" s="14">
        <f t="shared" si="5"/>
        <v>236</v>
      </c>
      <c r="B240" s="18"/>
      <c r="C240" s="16" t="s">
        <v>1679</v>
      </c>
      <c r="D240" s="19"/>
      <c r="E240" s="19"/>
      <c r="F240" s="203" t="str">
        <f t="shared" si="6"/>
        <v/>
      </c>
    </row>
    <row r="241" spans="1:6" ht="14.1" customHeight="1">
      <c r="A241" s="14">
        <f t="shared" si="5"/>
        <v>237</v>
      </c>
      <c r="B241" s="18"/>
      <c r="C241" s="16" t="s">
        <v>1679</v>
      </c>
      <c r="D241" s="19"/>
      <c r="E241" s="19"/>
      <c r="F241" s="203" t="str">
        <f t="shared" si="6"/>
        <v/>
      </c>
    </row>
    <row r="242" spans="1:6" ht="14.1" customHeight="1">
      <c r="A242" s="14">
        <f t="shared" si="5"/>
        <v>238</v>
      </c>
      <c r="B242" s="18"/>
      <c r="C242" s="16" t="s">
        <v>1679</v>
      </c>
      <c r="D242" s="19"/>
      <c r="E242" s="19"/>
      <c r="F242" s="203" t="str">
        <f t="shared" si="6"/>
        <v/>
      </c>
    </row>
    <row r="243" spans="1:6" ht="14.1" customHeight="1">
      <c r="A243" s="14">
        <f t="shared" si="5"/>
        <v>239</v>
      </c>
      <c r="B243" s="18"/>
      <c r="C243" s="16" t="s">
        <v>1679</v>
      </c>
      <c r="D243" s="19"/>
      <c r="E243" s="19"/>
      <c r="F243" s="203" t="str">
        <f t="shared" si="6"/>
        <v/>
      </c>
    </row>
    <row r="244" spans="1:6" ht="14.1" customHeight="1">
      <c r="A244" s="14">
        <f t="shared" si="5"/>
        <v>240</v>
      </c>
      <c r="B244" s="18"/>
      <c r="C244" s="16" t="s">
        <v>1679</v>
      </c>
      <c r="D244" s="19"/>
      <c r="E244" s="19"/>
      <c r="F244" s="203" t="str">
        <f t="shared" si="6"/>
        <v/>
      </c>
    </row>
    <row r="245" spans="1:6" ht="14.1" customHeight="1">
      <c r="A245" s="14">
        <f t="shared" si="5"/>
        <v>241</v>
      </c>
      <c r="B245" s="18"/>
      <c r="C245" s="16" t="s">
        <v>1679</v>
      </c>
      <c r="D245" s="19"/>
      <c r="E245" s="19"/>
      <c r="F245" s="203" t="str">
        <f t="shared" si="6"/>
        <v/>
      </c>
    </row>
    <row r="246" spans="1:6" ht="14.1" customHeight="1">
      <c r="A246" s="14">
        <f t="shared" si="5"/>
        <v>242</v>
      </c>
      <c r="B246" s="18"/>
      <c r="C246" s="16" t="s">
        <v>1679</v>
      </c>
      <c r="D246" s="19"/>
      <c r="E246" s="19"/>
      <c r="F246" s="203" t="str">
        <f t="shared" si="6"/>
        <v/>
      </c>
    </row>
    <row r="247" spans="1:6" ht="14.1" customHeight="1">
      <c r="A247" s="14">
        <f t="shared" si="5"/>
        <v>243</v>
      </c>
      <c r="B247" s="18"/>
      <c r="C247" s="16" t="s">
        <v>1679</v>
      </c>
      <c r="D247" s="19"/>
      <c r="E247" s="19"/>
      <c r="F247" s="203" t="str">
        <f t="shared" si="6"/>
        <v/>
      </c>
    </row>
    <row r="248" spans="1:6" ht="14.1" customHeight="1">
      <c r="A248" s="14">
        <f t="shared" si="5"/>
        <v>244</v>
      </c>
      <c r="B248" s="18"/>
      <c r="C248" s="16" t="s">
        <v>1679</v>
      </c>
      <c r="D248" s="19"/>
      <c r="E248" s="19"/>
      <c r="F248" s="203" t="str">
        <f t="shared" si="6"/>
        <v/>
      </c>
    </row>
    <row r="249" spans="1:6" ht="14.1" customHeight="1">
      <c r="A249" s="14">
        <f t="shared" si="5"/>
        <v>245</v>
      </c>
      <c r="B249" s="18"/>
      <c r="C249" s="16" t="s">
        <v>1679</v>
      </c>
      <c r="D249" s="19"/>
      <c r="E249" s="19"/>
      <c r="F249" s="203" t="str">
        <f t="shared" si="6"/>
        <v/>
      </c>
    </row>
    <row r="250" spans="1:6" ht="14.1" customHeight="1">
      <c r="A250" s="14">
        <f t="shared" si="5"/>
        <v>246</v>
      </c>
      <c r="B250" s="18"/>
      <c r="C250" s="16" t="s">
        <v>1679</v>
      </c>
      <c r="D250" s="19"/>
      <c r="E250" s="19"/>
      <c r="F250" s="203" t="str">
        <f t="shared" si="6"/>
        <v/>
      </c>
    </row>
    <row r="251" spans="1:6" ht="14.1" customHeight="1">
      <c r="A251" s="14">
        <f t="shared" si="5"/>
        <v>247</v>
      </c>
      <c r="B251" s="18"/>
      <c r="C251" s="16" t="s">
        <v>1679</v>
      </c>
      <c r="D251" s="19"/>
      <c r="E251" s="19"/>
      <c r="F251" s="203" t="str">
        <f t="shared" si="6"/>
        <v/>
      </c>
    </row>
    <row r="252" spans="1:6" ht="14.1" customHeight="1">
      <c r="A252" s="14">
        <f t="shared" si="5"/>
        <v>248</v>
      </c>
      <c r="B252" s="18"/>
      <c r="C252" s="16" t="s">
        <v>1679</v>
      </c>
      <c r="D252" s="19"/>
      <c r="E252" s="19"/>
      <c r="F252" s="203" t="str">
        <f t="shared" si="6"/>
        <v/>
      </c>
    </row>
    <row r="253" spans="1:6" ht="14.1" customHeight="1">
      <c r="A253" s="14">
        <f t="shared" si="5"/>
        <v>249</v>
      </c>
      <c r="B253" s="18"/>
      <c r="C253" s="16" t="s">
        <v>1679</v>
      </c>
      <c r="D253" s="19"/>
      <c r="E253" s="19"/>
      <c r="F253" s="203" t="str">
        <f t="shared" si="6"/>
        <v/>
      </c>
    </row>
    <row r="254" spans="1:6" ht="14.1" customHeight="1">
      <c r="A254" s="14">
        <f t="shared" si="5"/>
        <v>250</v>
      </c>
      <c r="B254" s="18"/>
      <c r="C254" s="16" t="s">
        <v>1679</v>
      </c>
      <c r="D254" s="19"/>
      <c r="E254" s="19"/>
      <c r="F254" s="203" t="str">
        <f t="shared" si="6"/>
        <v/>
      </c>
    </row>
    <row r="255" spans="1:6" ht="14.1" customHeight="1">
      <c r="A255" s="14">
        <f t="shared" si="5"/>
        <v>251</v>
      </c>
      <c r="B255" s="18"/>
      <c r="C255" s="16" t="s">
        <v>1679</v>
      </c>
      <c r="D255" s="19"/>
      <c r="E255" s="19"/>
      <c r="F255" s="203" t="str">
        <f t="shared" si="6"/>
        <v/>
      </c>
    </row>
    <row r="256" spans="1:6" ht="14.1" customHeight="1">
      <c r="A256" s="14">
        <f t="shared" si="5"/>
        <v>252</v>
      </c>
      <c r="B256" s="18"/>
      <c r="C256" s="16" t="s">
        <v>1679</v>
      </c>
      <c r="D256" s="19"/>
      <c r="E256" s="19"/>
      <c r="F256" s="203" t="str">
        <f t="shared" si="6"/>
        <v/>
      </c>
    </row>
    <row r="257" spans="1:6" ht="14.1" customHeight="1">
      <c r="A257" s="14">
        <f t="shared" si="5"/>
        <v>253</v>
      </c>
      <c r="B257" s="18"/>
      <c r="C257" s="16" t="s">
        <v>1679</v>
      </c>
      <c r="D257" s="19"/>
      <c r="E257" s="19"/>
      <c r="F257" s="203" t="str">
        <f t="shared" si="6"/>
        <v/>
      </c>
    </row>
    <row r="258" spans="1:6" ht="14.1" customHeight="1">
      <c r="A258" s="14">
        <f t="shared" si="5"/>
        <v>254</v>
      </c>
      <c r="B258" s="18"/>
      <c r="C258" s="16" t="s">
        <v>1679</v>
      </c>
      <c r="D258" s="19"/>
      <c r="E258" s="19"/>
      <c r="F258" s="203" t="str">
        <f t="shared" si="6"/>
        <v/>
      </c>
    </row>
    <row r="259" spans="1:6" ht="14.1" customHeight="1">
      <c r="A259" s="14">
        <f t="shared" ref="A259:A322" si="7">A258+1</f>
        <v>255</v>
      </c>
      <c r="B259" s="18"/>
      <c r="C259" s="16" t="s">
        <v>1679</v>
      </c>
      <c r="D259" s="19"/>
      <c r="E259" s="19"/>
      <c r="F259" s="203" t="str">
        <f t="shared" si="6"/>
        <v/>
      </c>
    </row>
    <row r="260" spans="1:6" ht="14.1" customHeight="1">
      <c r="A260" s="14">
        <f t="shared" si="7"/>
        <v>256</v>
      </c>
      <c r="B260" s="18"/>
      <c r="C260" s="16" t="s">
        <v>1679</v>
      </c>
      <c r="D260" s="19"/>
      <c r="E260" s="19"/>
      <c r="F260" s="203" t="str">
        <f t="shared" si="6"/>
        <v/>
      </c>
    </row>
    <row r="261" spans="1:6" ht="14.1" customHeight="1">
      <c r="A261" s="14">
        <f t="shared" si="7"/>
        <v>257</v>
      </c>
      <c r="B261" s="18"/>
      <c r="C261" s="16" t="s">
        <v>1679</v>
      </c>
      <c r="D261" s="19"/>
      <c r="E261" s="19"/>
      <c r="F261" s="203" t="str">
        <f t="shared" si="6"/>
        <v/>
      </c>
    </row>
    <row r="262" spans="1:6" ht="14.1" customHeight="1">
      <c r="A262" s="14">
        <f t="shared" si="7"/>
        <v>258</v>
      </c>
      <c r="B262" s="18"/>
      <c r="C262" s="16" t="s">
        <v>1679</v>
      </c>
      <c r="D262" s="19"/>
      <c r="E262" s="19"/>
      <c r="F262" s="203" t="str">
        <f t="shared" si="6"/>
        <v/>
      </c>
    </row>
    <row r="263" spans="1:6" ht="14.1" customHeight="1">
      <c r="A263" s="14">
        <f t="shared" si="7"/>
        <v>259</v>
      </c>
      <c r="B263" s="18"/>
      <c r="C263" s="16" t="s">
        <v>1679</v>
      </c>
      <c r="D263" s="19"/>
      <c r="E263" s="19"/>
      <c r="F263" s="203" t="str">
        <f t="shared" si="6"/>
        <v/>
      </c>
    </row>
    <row r="264" spans="1:6" ht="14.1" customHeight="1">
      <c r="A264" s="14">
        <f t="shared" si="7"/>
        <v>260</v>
      </c>
      <c r="B264" s="18"/>
      <c r="C264" s="16" t="s">
        <v>1679</v>
      </c>
      <c r="D264" s="19"/>
      <c r="E264" s="19"/>
      <c r="F264" s="203" t="str">
        <f t="shared" si="6"/>
        <v/>
      </c>
    </row>
    <row r="265" spans="1:6" ht="14.1" customHeight="1">
      <c r="A265" s="14">
        <f t="shared" si="7"/>
        <v>261</v>
      </c>
      <c r="B265" s="18"/>
      <c r="C265" s="16" t="s">
        <v>1679</v>
      </c>
      <c r="D265" s="19"/>
      <c r="E265" s="19"/>
      <c r="F265" s="203" t="str">
        <f t="shared" si="6"/>
        <v/>
      </c>
    </row>
    <row r="266" spans="1:6" ht="14.1" customHeight="1">
      <c r="A266" s="14">
        <f t="shared" si="7"/>
        <v>262</v>
      </c>
      <c r="B266" s="18"/>
      <c r="C266" s="16" t="s">
        <v>1679</v>
      </c>
      <c r="D266" s="19"/>
      <c r="E266" s="19"/>
      <c r="F266" s="203" t="str">
        <f t="shared" si="6"/>
        <v/>
      </c>
    </row>
    <row r="267" spans="1:6" ht="14.1" customHeight="1">
      <c r="A267" s="14">
        <f t="shared" si="7"/>
        <v>263</v>
      </c>
      <c r="B267" s="18"/>
      <c r="C267" s="16" t="s">
        <v>1679</v>
      </c>
      <c r="D267" s="19"/>
      <c r="E267" s="19"/>
      <c r="F267" s="203" t="str">
        <f t="shared" si="6"/>
        <v/>
      </c>
    </row>
    <row r="268" spans="1:6" ht="14.1" customHeight="1">
      <c r="A268" s="14">
        <f t="shared" si="7"/>
        <v>264</v>
      </c>
      <c r="B268" s="18"/>
      <c r="C268" s="16" t="s">
        <v>1679</v>
      </c>
      <c r="D268" s="19"/>
      <c r="E268" s="19"/>
      <c r="F268" s="203" t="str">
        <f t="shared" si="6"/>
        <v/>
      </c>
    </row>
    <row r="269" spans="1:6" ht="14.1" customHeight="1">
      <c r="A269" s="14">
        <f t="shared" si="7"/>
        <v>265</v>
      </c>
      <c r="B269" s="18"/>
      <c r="C269" s="16" t="s">
        <v>1679</v>
      </c>
      <c r="D269" s="19"/>
      <c r="E269" s="19"/>
      <c r="F269" s="203" t="str">
        <f t="shared" si="6"/>
        <v/>
      </c>
    </row>
    <row r="270" spans="1:6" ht="14.1" customHeight="1">
      <c r="A270" s="14">
        <f t="shared" si="7"/>
        <v>266</v>
      </c>
      <c r="B270" s="18"/>
      <c r="C270" s="16" t="s">
        <v>1679</v>
      </c>
      <c r="D270" s="19"/>
      <c r="E270" s="19"/>
      <c r="F270" s="203" t="str">
        <f t="shared" si="6"/>
        <v/>
      </c>
    </row>
    <row r="271" spans="1:6" ht="14.1" customHeight="1">
      <c r="A271" s="14">
        <f t="shared" si="7"/>
        <v>267</v>
      </c>
      <c r="B271" s="18"/>
      <c r="C271" s="16" t="s">
        <v>1679</v>
      </c>
      <c r="D271" s="19"/>
      <c r="E271" s="19"/>
      <c r="F271" s="203" t="str">
        <f t="shared" si="6"/>
        <v/>
      </c>
    </row>
    <row r="272" spans="1:6" ht="14.1" customHeight="1">
      <c r="A272" s="14">
        <f t="shared" si="7"/>
        <v>268</v>
      </c>
      <c r="B272" s="18"/>
      <c r="C272" s="16" t="s">
        <v>1679</v>
      </c>
      <c r="D272" s="19"/>
      <c r="E272" s="19"/>
      <c r="F272" s="203" t="str">
        <f t="shared" si="6"/>
        <v/>
      </c>
    </row>
    <row r="273" spans="1:6" ht="14.1" customHeight="1">
      <c r="A273" s="14">
        <f t="shared" si="7"/>
        <v>269</v>
      </c>
      <c r="B273" s="18"/>
      <c r="C273" s="16" t="s">
        <v>1679</v>
      </c>
      <c r="D273" s="19"/>
      <c r="E273" s="19"/>
      <c r="F273" s="203" t="str">
        <f t="shared" si="6"/>
        <v/>
      </c>
    </row>
    <row r="274" spans="1:6" ht="14.1" customHeight="1">
      <c r="A274" s="14">
        <f t="shared" si="7"/>
        <v>270</v>
      </c>
      <c r="B274" s="18"/>
      <c r="C274" s="16" t="s">
        <v>1679</v>
      </c>
      <c r="D274" s="19"/>
      <c r="E274" s="19"/>
      <c r="F274" s="203" t="str">
        <f t="shared" si="6"/>
        <v/>
      </c>
    </row>
    <row r="275" spans="1:6" ht="14.1" customHeight="1">
      <c r="A275" s="14">
        <f t="shared" si="7"/>
        <v>271</v>
      </c>
      <c r="B275" s="18"/>
      <c r="C275" s="16" t="s">
        <v>1679</v>
      </c>
      <c r="D275" s="19"/>
      <c r="E275" s="19"/>
      <c r="F275" s="203" t="str">
        <f t="shared" si="6"/>
        <v/>
      </c>
    </row>
    <row r="276" spans="1:6" ht="14.1" customHeight="1">
      <c r="A276" s="14">
        <f t="shared" si="7"/>
        <v>272</v>
      </c>
      <c r="B276" s="18"/>
      <c r="C276" s="16" t="s">
        <v>1679</v>
      </c>
      <c r="D276" s="19"/>
      <c r="E276" s="19"/>
      <c r="F276" s="203" t="str">
        <f t="shared" si="6"/>
        <v/>
      </c>
    </row>
    <row r="277" spans="1:6" ht="14.1" customHeight="1">
      <c r="A277" s="14">
        <f t="shared" si="7"/>
        <v>273</v>
      </c>
      <c r="B277" s="18"/>
      <c r="C277" s="16" t="s">
        <v>1679</v>
      </c>
      <c r="D277" s="19"/>
      <c r="E277" s="19"/>
      <c r="F277" s="203" t="str">
        <f t="shared" si="6"/>
        <v/>
      </c>
    </row>
    <row r="278" spans="1:6" ht="14.1" customHeight="1">
      <c r="A278" s="14">
        <f t="shared" si="7"/>
        <v>274</v>
      </c>
      <c r="B278" s="18"/>
      <c r="C278" s="16" t="s">
        <v>1679</v>
      </c>
      <c r="D278" s="19"/>
      <c r="E278" s="19"/>
      <c r="F278" s="203" t="str">
        <f t="shared" si="6"/>
        <v/>
      </c>
    </row>
    <row r="279" spans="1:6" ht="14.1" customHeight="1">
      <c r="A279" s="14">
        <f t="shared" si="7"/>
        <v>275</v>
      </c>
      <c r="B279" s="18"/>
      <c r="C279" s="16" t="s">
        <v>1679</v>
      </c>
      <c r="D279" s="19"/>
      <c r="E279" s="19"/>
      <c r="F279" s="203" t="str">
        <f t="shared" si="6"/>
        <v/>
      </c>
    </row>
    <row r="280" spans="1:6" ht="14.1" customHeight="1">
      <c r="A280" s="14">
        <f t="shared" si="7"/>
        <v>276</v>
      </c>
      <c r="B280" s="18"/>
      <c r="C280" s="16" t="s">
        <v>1679</v>
      </c>
      <c r="D280" s="19"/>
      <c r="E280" s="19"/>
      <c r="F280" s="203" t="str">
        <f t="shared" si="6"/>
        <v/>
      </c>
    </row>
    <row r="281" spans="1:6" ht="14.1" customHeight="1">
      <c r="A281" s="14">
        <f t="shared" si="7"/>
        <v>277</v>
      </c>
      <c r="B281" s="18"/>
      <c r="C281" s="16" t="s">
        <v>1679</v>
      </c>
      <c r="D281" s="19"/>
      <c r="E281" s="19"/>
      <c r="F281" s="203" t="str">
        <f t="shared" si="6"/>
        <v/>
      </c>
    </row>
    <row r="282" spans="1:6" ht="14.1" customHeight="1">
      <c r="A282" s="14">
        <f t="shared" si="7"/>
        <v>278</v>
      </c>
      <c r="B282" s="18"/>
      <c r="C282" s="16" t="s">
        <v>1679</v>
      </c>
      <c r="D282" s="19"/>
      <c r="E282" s="19"/>
      <c r="F282" s="203" t="str">
        <f t="shared" si="6"/>
        <v/>
      </c>
    </row>
    <row r="283" spans="1:6" ht="14.1" customHeight="1">
      <c r="A283" s="14">
        <f t="shared" si="7"/>
        <v>279</v>
      </c>
      <c r="B283" s="18"/>
      <c r="C283" s="16" t="s">
        <v>1679</v>
      </c>
      <c r="D283" s="19"/>
      <c r="E283" s="19"/>
      <c r="F283" s="203" t="str">
        <f t="shared" si="6"/>
        <v/>
      </c>
    </row>
    <row r="284" spans="1:6" ht="14.1" customHeight="1">
      <c r="A284" s="14">
        <f t="shared" si="7"/>
        <v>280</v>
      </c>
      <c r="B284" s="18"/>
      <c r="C284" s="16" t="s">
        <v>1679</v>
      </c>
      <c r="D284" s="19"/>
      <c r="E284" s="19"/>
      <c r="F284" s="203" t="str">
        <f t="shared" si="6"/>
        <v/>
      </c>
    </row>
    <row r="285" spans="1:6" ht="14.1" customHeight="1">
      <c r="A285" s="14">
        <f t="shared" si="7"/>
        <v>281</v>
      </c>
      <c r="B285" s="18"/>
      <c r="C285" s="16" t="s">
        <v>1679</v>
      </c>
      <c r="D285" s="19"/>
      <c r="E285" s="19"/>
      <c r="F285" s="203" t="str">
        <f t="shared" si="6"/>
        <v/>
      </c>
    </row>
    <row r="286" spans="1:6" ht="14.1" customHeight="1">
      <c r="A286" s="14">
        <f t="shared" si="7"/>
        <v>282</v>
      </c>
      <c r="B286" s="18"/>
      <c r="C286" s="16" t="s">
        <v>1679</v>
      </c>
      <c r="D286" s="19"/>
      <c r="E286" s="19"/>
      <c r="F286" s="203" t="str">
        <f t="shared" si="6"/>
        <v/>
      </c>
    </row>
    <row r="287" spans="1:6" ht="14.1" customHeight="1">
      <c r="A287" s="14">
        <f t="shared" si="7"/>
        <v>283</v>
      </c>
      <c r="B287" s="18"/>
      <c r="C287" s="16" t="s">
        <v>1679</v>
      </c>
      <c r="D287" s="19"/>
      <c r="E287" s="19"/>
      <c r="F287" s="203" t="str">
        <f t="shared" si="6"/>
        <v/>
      </c>
    </row>
    <row r="288" spans="1:6" ht="14.1" customHeight="1">
      <c r="A288" s="14">
        <f t="shared" si="7"/>
        <v>284</v>
      </c>
      <c r="B288" s="18"/>
      <c r="C288" s="16" t="s">
        <v>1679</v>
      </c>
      <c r="D288" s="19"/>
      <c r="E288" s="19"/>
      <c r="F288" s="203" t="str">
        <f t="shared" si="6"/>
        <v/>
      </c>
    </row>
    <row r="289" spans="1:6" ht="14.1" customHeight="1">
      <c r="A289" s="14">
        <f t="shared" si="7"/>
        <v>285</v>
      </c>
      <c r="B289" s="18"/>
      <c r="C289" s="16" t="s">
        <v>1679</v>
      </c>
      <c r="D289" s="19"/>
      <c r="E289" s="19"/>
      <c r="F289" s="203" t="str">
        <f t="shared" si="6"/>
        <v/>
      </c>
    </row>
    <row r="290" spans="1:6" ht="14.1" customHeight="1">
      <c r="A290" s="14">
        <f t="shared" si="7"/>
        <v>286</v>
      </c>
      <c r="B290" s="18"/>
      <c r="C290" s="16" t="s">
        <v>1679</v>
      </c>
      <c r="D290" s="19"/>
      <c r="E290" s="19"/>
      <c r="F290" s="203" t="str">
        <f t="shared" si="6"/>
        <v/>
      </c>
    </row>
    <row r="291" spans="1:6" ht="14.1" customHeight="1">
      <c r="A291" s="14">
        <f t="shared" si="7"/>
        <v>287</v>
      </c>
      <c r="B291" s="18"/>
      <c r="C291" s="16" t="s">
        <v>1679</v>
      </c>
      <c r="D291" s="19"/>
      <c r="E291" s="19"/>
      <c r="F291" s="203" t="str">
        <f t="shared" si="6"/>
        <v/>
      </c>
    </row>
    <row r="292" spans="1:6" ht="14.1" customHeight="1">
      <c r="A292" s="14">
        <f t="shared" si="7"/>
        <v>288</v>
      </c>
      <c r="B292" s="18"/>
      <c r="C292" s="16" t="s">
        <v>1679</v>
      </c>
      <c r="D292" s="19"/>
      <c r="E292" s="19"/>
      <c r="F292" s="203" t="str">
        <f t="shared" si="6"/>
        <v/>
      </c>
    </row>
    <row r="293" spans="1:6" ht="14.1" customHeight="1">
      <c r="A293" s="14">
        <f t="shared" si="7"/>
        <v>289</v>
      </c>
      <c r="B293" s="18"/>
      <c r="C293" s="16" t="s">
        <v>1679</v>
      </c>
      <c r="D293" s="19"/>
      <c r="E293" s="19"/>
      <c r="F293" s="203" t="str">
        <f t="shared" si="6"/>
        <v/>
      </c>
    </row>
    <row r="294" spans="1:6" ht="14.1" customHeight="1">
      <c r="A294" s="14">
        <f t="shared" si="7"/>
        <v>290</v>
      </c>
      <c r="B294" s="18"/>
      <c r="C294" s="16" t="s">
        <v>1679</v>
      </c>
      <c r="D294" s="19"/>
      <c r="E294" s="19"/>
      <c r="F294" s="203" t="str">
        <f t="shared" si="6"/>
        <v/>
      </c>
    </row>
    <row r="295" spans="1:6" ht="14.1" customHeight="1">
      <c r="A295" s="14">
        <f t="shared" si="7"/>
        <v>291</v>
      </c>
      <c r="B295" s="18"/>
      <c r="C295" s="16" t="s">
        <v>1679</v>
      </c>
      <c r="D295" s="19"/>
      <c r="E295" s="19"/>
      <c r="F295" s="203" t="str">
        <f t="shared" si="6"/>
        <v/>
      </c>
    </row>
    <row r="296" spans="1:6" ht="14.1" customHeight="1">
      <c r="A296" s="14">
        <f t="shared" si="7"/>
        <v>292</v>
      </c>
      <c r="B296" s="18"/>
      <c r="C296" s="16" t="s">
        <v>1679</v>
      </c>
      <c r="D296" s="19"/>
      <c r="E296" s="19"/>
      <c r="F296" s="203" t="str">
        <f t="shared" si="6"/>
        <v/>
      </c>
    </row>
    <row r="297" spans="1:6" ht="14.1" customHeight="1">
      <c r="A297" s="14">
        <f t="shared" si="7"/>
        <v>293</v>
      </c>
      <c r="B297" s="18"/>
      <c r="C297" s="16" t="s">
        <v>1679</v>
      </c>
      <c r="D297" s="19"/>
      <c r="E297" s="19"/>
      <c r="F297" s="203" t="str">
        <f t="shared" si="6"/>
        <v/>
      </c>
    </row>
    <row r="298" spans="1:6" ht="14.1" customHeight="1">
      <c r="A298" s="14">
        <f t="shared" si="7"/>
        <v>294</v>
      </c>
      <c r="B298" s="18"/>
      <c r="C298" s="16" t="s">
        <v>1679</v>
      </c>
      <c r="D298" s="19"/>
      <c r="E298" s="19"/>
      <c r="F298" s="203" t="str">
        <f t="shared" ref="F298:F361" si="8">IF(AND(B299&lt;&gt;"",B298=""),"Don't skip lines",IF(AND(D298="",B298&lt;&gt;""),"Enter U-value",IF(AND(D298&lt;&gt;"",B298=""),"Enter Description","")))</f>
        <v/>
      </c>
    </row>
    <row r="299" spans="1:6" ht="14.1" customHeight="1">
      <c r="A299" s="14">
        <f t="shared" si="7"/>
        <v>295</v>
      </c>
      <c r="B299" s="18"/>
      <c r="C299" s="16" t="s">
        <v>1679</v>
      </c>
      <c r="D299" s="19"/>
      <c r="E299" s="19"/>
      <c r="F299" s="203" t="str">
        <f t="shared" si="8"/>
        <v/>
      </c>
    </row>
    <row r="300" spans="1:6" ht="14.1" customHeight="1">
      <c r="A300" s="14">
        <f t="shared" si="7"/>
        <v>296</v>
      </c>
      <c r="B300" s="18"/>
      <c r="C300" s="16" t="s">
        <v>1679</v>
      </c>
      <c r="D300" s="19"/>
      <c r="E300" s="19"/>
      <c r="F300" s="203" t="str">
        <f t="shared" si="8"/>
        <v/>
      </c>
    </row>
    <row r="301" spans="1:6" ht="14.1" customHeight="1">
      <c r="A301" s="14">
        <f t="shared" si="7"/>
        <v>297</v>
      </c>
      <c r="B301" s="18"/>
      <c r="C301" s="16" t="s">
        <v>1679</v>
      </c>
      <c r="D301" s="19"/>
      <c r="E301" s="19"/>
      <c r="F301" s="203" t="str">
        <f t="shared" si="8"/>
        <v/>
      </c>
    </row>
    <row r="302" spans="1:6" ht="14.1" customHeight="1">
      <c r="A302" s="14">
        <f t="shared" si="7"/>
        <v>298</v>
      </c>
      <c r="B302" s="18"/>
      <c r="C302" s="16" t="s">
        <v>1679</v>
      </c>
      <c r="D302" s="19"/>
      <c r="E302" s="19"/>
      <c r="F302" s="203" t="str">
        <f t="shared" si="8"/>
        <v/>
      </c>
    </row>
    <row r="303" spans="1:6" ht="14.1" customHeight="1">
      <c r="A303" s="14">
        <f t="shared" si="7"/>
        <v>299</v>
      </c>
      <c r="B303" s="18"/>
      <c r="C303" s="16" t="s">
        <v>1679</v>
      </c>
      <c r="D303" s="19"/>
      <c r="E303" s="19"/>
      <c r="F303" s="203" t="str">
        <f t="shared" si="8"/>
        <v/>
      </c>
    </row>
    <row r="304" spans="1:6" ht="14.1" customHeight="1">
      <c r="A304" s="14">
        <f t="shared" si="7"/>
        <v>300</v>
      </c>
      <c r="B304" s="18"/>
      <c r="C304" s="16" t="s">
        <v>1679</v>
      </c>
      <c r="D304" s="19"/>
      <c r="E304" s="19"/>
      <c r="F304" s="203" t="str">
        <f t="shared" si="8"/>
        <v/>
      </c>
    </row>
    <row r="305" spans="1:6" ht="14.1" customHeight="1">
      <c r="A305" s="14">
        <f t="shared" si="7"/>
        <v>301</v>
      </c>
      <c r="B305" s="18"/>
      <c r="C305" s="16" t="s">
        <v>1679</v>
      </c>
      <c r="D305" s="19"/>
      <c r="E305" s="19"/>
      <c r="F305" s="203" t="str">
        <f t="shared" si="8"/>
        <v/>
      </c>
    </row>
    <row r="306" spans="1:6" ht="14.1" customHeight="1">
      <c r="A306" s="14">
        <f t="shared" si="7"/>
        <v>302</v>
      </c>
      <c r="B306" s="18"/>
      <c r="C306" s="16" t="s">
        <v>1679</v>
      </c>
      <c r="D306" s="19"/>
      <c r="E306" s="19"/>
      <c r="F306" s="203" t="str">
        <f t="shared" si="8"/>
        <v/>
      </c>
    </row>
    <row r="307" spans="1:6" ht="14.1" customHeight="1">
      <c r="A307" s="14">
        <f t="shared" si="7"/>
        <v>303</v>
      </c>
      <c r="B307" s="18"/>
      <c r="C307" s="16" t="s">
        <v>1679</v>
      </c>
      <c r="D307" s="19"/>
      <c r="E307" s="19"/>
      <c r="F307" s="203" t="str">
        <f t="shared" si="8"/>
        <v/>
      </c>
    </row>
    <row r="308" spans="1:6" ht="14.1" customHeight="1">
      <c r="A308" s="14">
        <f t="shared" si="7"/>
        <v>304</v>
      </c>
      <c r="B308" s="18"/>
      <c r="C308" s="16" t="s">
        <v>1679</v>
      </c>
      <c r="D308" s="19"/>
      <c r="E308" s="19"/>
      <c r="F308" s="203" t="str">
        <f t="shared" si="8"/>
        <v/>
      </c>
    </row>
    <row r="309" spans="1:6" ht="14.1" customHeight="1">
      <c r="A309" s="14">
        <f t="shared" si="7"/>
        <v>305</v>
      </c>
      <c r="B309" s="18"/>
      <c r="C309" s="16" t="s">
        <v>1679</v>
      </c>
      <c r="D309" s="19"/>
      <c r="E309" s="19"/>
      <c r="F309" s="203" t="str">
        <f t="shared" si="8"/>
        <v/>
      </c>
    </row>
    <row r="310" spans="1:6" ht="14.1" customHeight="1">
      <c r="A310" s="14">
        <f t="shared" si="7"/>
        <v>306</v>
      </c>
      <c r="B310" s="18"/>
      <c r="C310" s="16" t="s">
        <v>1679</v>
      </c>
      <c r="D310" s="19"/>
      <c r="E310" s="19"/>
      <c r="F310" s="203" t="str">
        <f t="shared" si="8"/>
        <v/>
      </c>
    </row>
    <row r="311" spans="1:6" ht="14.1" customHeight="1">
      <c r="A311" s="14">
        <f t="shared" si="7"/>
        <v>307</v>
      </c>
      <c r="B311" s="18"/>
      <c r="C311" s="16" t="s">
        <v>1679</v>
      </c>
      <c r="D311" s="19"/>
      <c r="E311" s="19"/>
      <c r="F311" s="203" t="str">
        <f t="shared" si="8"/>
        <v/>
      </c>
    </row>
    <row r="312" spans="1:6" ht="14.1" customHeight="1">
      <c r="A312" s="14">
        <f t="shared" si="7"/>
        <v>308</v>
      </c>
      <c r="B312" s="18"/>
      <c r="C312" s="16" t="s">
        <v>1679</v>
      </c>
      <c r="D312" s="19"/>
      <c r="E312" s="19"/>
      <c r="F312" s="203" t="str">
        <f t="shared" si="8"/>
        <v/>
      </c>
    </row>
    <row r="313" spans="1:6" ht="14.1" customHeight="1">
      <c r="A313" s="14">
        <f t="shared" si="7"/>
        <v>309</v>
      </c>
      <c r="B313" s="18"/>
      <c r="C313" s="16" t="s">
        <v>1679</v>
      </c>
      <c r="D313" s="19"/>
      <c r="E313" s="19"/>
      <c r="F313" s="203" t="str">
        <f t="shared" si="8"/>
        <v/>
      </c>
    </row>
    <row r="314" spans="1:6" ht="14.1" customHeight="1">
      <c r="A314" s="14">
        <f t="shared" si="7"/>
        <v>310</v>
      </c>
      <c r="B314" s="18"/>
      <c r="C314" s="16" t="s">
        <v>1679</v>
      </c>
      <c r="D314" s="19"/>
      <c r="E314" s="19"/>
      <c r="F314" s="203" t="str">
        <f t="shared" si="8"/>
        <v/>
      </c>
    </row>
    <row r="315" spans="1:6" ht="14.1" customHeight="1">
      <c r="A315" s="14">
        <f t="shared" si="7"/>
        <v>311</v>
      </c>
      <c r="B315" s="18"/>
      <c r="C315" s="16" t="s">
        <v>1679</v>
      </c>
      <c r="D315" s="19"/>
      <c r="E315" s="19"/>
      <c r="F315" s="203" t="str">
        <f t="shared" si="8"/>
        <v/>
      </c>
    </row>
    <row r="316" spans="1:6" ht="14.1" customHeight="1">
      <c r="A316" s="14">
        <f t="shared" si="7"/>
        <v>312</v>
      </c>
      <c r="B316" s="18"/>
      <c r="C316" s="16" t="s">
        <v>1679</v>
      </c>
      <c r="D316" s="19"/>
      <c r="E316" s="19"/>
      <c r="F316" s="203" t="str">
        <f t="shared" si="8"/>
        <v/>
      </c>
    </row>
    <row r="317" spans="1:6" ht="14.1" customHeight="1">
      <c r="A317" s="14">
        <f t="shared" si="7"/>
        <v>313</v>
      </c>
      <c r="B317" s="18"/>
      <c r="C317" s="16" t="s">
        <v>1679</v>
      </c>
      <c r="D317" s="19"/>
      <c r="E317" s="19"/>
      <c r="F317" s="203" t="str">
        <f t="shared" si="8"/>
        <v/>
      </c>
    </row>
    <row r="318" spans="1:6" ht="14.1" customHeight="1">
      <c r="A318" s="14">
        <f t="shared" si="7"/>
        <v>314</v>
      </c>
      <c r="B318" s="18"/>
      <c r="C318" s="16" t="s">
        <v>1679</v>
      </c>
      <c r="D318" s="19"/>
      <c r="E318" s="19"/>
      <c r="F318" s="203" t="str">
        <f t="shared" si="8"/>
        <v/>
      </c>
    </row>
    <row r="319" spans="1:6" ht="14.1" customHeight="1">
      <c r="A319" s="14">
        <f t="shared" si="7"/>
        <v>315</v>
      </c>
      <c r="B319" s="18"/>
      <c r="C319" s="16" t="s">
        <v>1679</v>
      </c>
      <c r="D319" s="19"/>
      <c r="E319" s="19"/>
      <c r="F319" s="203" t="str">
        <f t="shared" si="8"/>
        <v/>
      </c>
    </row>
    <row r="320" spans="1:6" ht="14.1" customHeight="1">
      <c r="A320" s="14">
        <f t="shared" si="7"/>
        <v>316</v>
      </c>
      <c r="B320" s="18"/>
      <c r="C320" s="16" t="s">
        <v>1679</v>
      </c>
      <c r="D320" s="19"/>
      <c r="E320" s="19"/>
      <c r="F320" s="203" t="str">
        <f t="shared" si="8"/>
        <v/>
      </c>
    </row>
    <row r="321" spans="1:6" ht="14.1" customHeight="1">
      <c r="A321" s="14">
        <f t="shared" si="7"/>
        <v>317</v>
      </c>
      <c r="B321" s="18"/>
      <c r="C321" s="16" t="s">
        <v>1679</v>
      </c>
      <c r="D321" s="19"/>
      <c r="E321" s="19"/>
      <c r="F321" s="203" t="str">
        <f t="shared" si="8"/>
        <v/>
      </c>
    </row>
    <row r="322" spans="1:6" ht="14.1" customHeight="1">
      <c r="A322" s="14">
        <f t="shared" si="7"/>
        <v>318</v>
      </c>
      <c r="B322" s="18"/>
      <c r="C322" s="16" t="s">
        <v>1679</v>
      </c>
      <c r="D322" s="19"/>
      <c r="E322" s="19"/>
      <c r="F322" s="203" t="str">
        <f t="shared" si="8"/>
        <v/>
      </c>
    </row>
    <row r="323" spans="1:6" ht="14.1" customHeight="1">
      <c r="A323" s="14">
        <f t="shared" ref="A323:A386" si="9">A322+1</f>
        <v>319</v>
      </c>
      <c r="B323" s="18"/>
      <c r="C323" s="16" t="s">
        <v>1679</v>
      </c>
      <c r="D323" s="19"/>
      <c r="E323" s="19"/>
      <c r="F323" s="203" t="str">
        <f t="shared" si="8"/>
        <v/>
      </c>
    </row>
    <row r="324" spans="1:6" ht="14.1" customHeight="1">
      <c r="A324" s="14">
        <f t="shared" si="9"/>
        <v>320</v>
      </c>
      <c r="B324" s="18"/>
      <c r="C324" s="16" t="s">
        <v>1679</v>
      </c>
      <c r="D324" s="19"/>
      <c r="E324" s="19"/>
      <c r="F324" s="203" t="str">
        <f t="shared" si="8"/>
        <v/>
      </c>
    </row>
    <row r="325" spans="1:6" ht="14.1" customHeight="1">
      <c r="A325" s="14">
        <f t="shared" si="9"/>
        <v>321</v>
      </c>
      <c r="B325" s="18"/>
      <c r="C325" s="16" t="s">
        <v>1679</v>
      </c>
      <c r="D325" s="19"/>
      <c r="E325" s="19"/>
      <c r="F325" s="203" t="str">
        <f t="shared" si="8"/>
        <v/>
      </c>
    </row>
    <row r="326" spans="1:6" ht="14.1" customHeight="1">
      <c r="A326" s="14">
        <f t="shared" si="9"/>
        <v>322</v>
      </c>
      <c r="B326" s="18"/>
      <c r="C326" s="16" t="s">
        <v>1679</v>
      </c>
      <c r="D326" s="19"/>
      <c r="E326" s="19"/>
      <c r="F326" s="203" t="str">
        <f t="shared" si="8"/>
        <v/>
      </c>
    </row>
    <row r="327" spans="1:6" ht="14.1" customHeight="1">
      <c r="A327" s="14">
        <f t="shared" si="9"/>
        <v>323</v>
      </c>
      <c r="B327" s="18"/>
      <c r="C327" s="16" t="s">
        <v>1679</v>
      </c>
      <c r="D327" s="19"/>
      <c r="E327" s="19"/>
      <c r="F327" s="203" t="str">
        <f t="shared" si="8"/>
        <v/>
      </c>
    </row>
    <row r="328" spans="1:6" ht="14.1" customHeight="1">
      <c r="A328" s="14">
        <f t="shared" si="9"/>
        <v>324</v>
      </c>
      <c r="B328" s="18"/>
      <c r="C328" s="16" t="s">
        <v>1679</v>
      </c>
      <c r="D328" s="19"/>
      <c r="E328" s="19"/>
      <c r="F328" s="203" t="str">
        <f t="shared" si="8"/>
        <v/>
      </c>
    </row>
    <row r="329" spans="1:6" ht="14.1" customHeight="1">
      <c r="A329" s="14">
        <f t="shared" si="9"/>
        <v>325</v>
      </c>
      <c r="B329" s="18"/>
      <c r="C329" s="16" t="s">
        <v>1679</v>
      </c>
      <c r="D329" s="19"/>
      <c r="E329" s="19"/>
      <c r="F329" s="203" t="str">
        <f t="shared" si="8"/>
        <v/>
      </c>
    </row>
    <row r="330" spans="1:6" ht="14.1" customHeight="1">
      <c r="A330" s="14">
        <f t="shared" si="9"/>
        <v>326</v>
      </c>
      <c r="B330" s="18"/>
      <c r="C330" s="16" t="s">
        <v>1679</v>
      </c>
      <c r="D330" s="19"/>
      <c r="E330" s="19"/>
      <c r="F330" s="203" t="str">
        <f t="shared" si="8"/>
        <v/>
      </c>
    </row>
    <row r="331" spans="1:6" ht="14.1" customHeight="1">
      <c r="A331" s="14">
        <f t="shared" si="9"/>
        <v>327</v>
      </c>
      <c r="B331" s="18"/>
      <c r="C331" s="16" t="s">
        <v>1679</v>
      </c>
      <c r="D331" s="19"/>
      <c r="E331" s="19"/>
      <c r="F331" s="203" t="str">
        <f t="shared" si="8"/>
        <v/>
      </c>
    </row>
    <row r="332" spans="1:6" ht="14.1" customHeight="1">
      <c r="A332" s="14">
        <f t="shared" si="9"/>
        <v>328</v>
      </c>
      <c r="B332" s="18"/>
      <c r="C332" s="16" t="s">
        <v>1679</v>
      </c>
      <c r="D332" s="19"/>
      <c r="E332" s="19"/>
      <c r="F332" s="203" t="str">
        <f t="shared" si="8"/>
        <v/>
      </c>
    </row>
    <row r="333" spans="1:6" ht="14.1" customHeight="1">
      <c r="A333" s="14">
        <f t="shared" si="9"/>
        <v>329</v>
      </c>
      <c r="B333" s="18"/>
      <c r="C333" s="16" t="s">
        <v>1679</v>
      </c>
      <c r="D333" s="19"/>
      <c r="E333" s="19"/>
      <c r="F333" s="203" t="str">
        <f t="shared" si="8"/>
        <v/>
      </c>
    </row>
    <row r="334" spans="1:6" ht="14.1" customHeight="1">
      <c r="A334" s="14">
        <f t="shared" si="9"/>
        <v>330</v>
      </c>
      <c r="B334" s="18"/>
      <c r="C334" s="16" t="s">
        <v>1679</v>
      </c>
      <c r="D334" s="19"/>
      <c r="E334" s="19"/>
      <c r="F334" s="203" t="str">
        <f t="shared" si="8"/>
        <v/>
      </c>
    </row>
    <row r="335" spans="1:6" ht="14.1" customHeight="1">
      <c r="A335" s="14">
        <f t="shared" si="9"/>
        <v>331</v>
      </c>
      <c r="B335" s="18"/>
      <c r="C335" s="16" t="s">
        <v>1679</v>
      </c>
      <c r="D335" s="19"/>
      <c r="E335" s="19"/>
      <c r="F335" s="203" t="str">
        <f t="shared" si="8"/>
        <v/>
      </c>
    </row>
    <row r="336" spans="1:6" ht="14.1" customHeight="1">
      <c r="A336" s="14">
        <f t="shared" si="9"/>
        <v>332</v>
      </c>
      <c r="B336" s="18"/>
      <c r="C336" s="16" t="s">
        <v>1679</v>
      </c>
      <c r="D336" s="19"/>
      <c r="E336" s="19"/>
      <c r="F336" s="203" t="str">
        <f t="shared" si="8"/>
        <v/>
      </c>
    </row>
    <row r="337" spans="1:6" ht="14.1" customHeight="1">
      <c r="A337" s="14">
        <f t="shared" si="9"/>
        <v>333</v>
      </c>
      <c r="B337" s="18"/>
      <c r="C337" s="16" t="s">
        <v>1679</v>
      </c>
      <c r="D337" s="19"/>
      <c r="E337" s="19"/>
      <c r="F337" s="203" t="str">
        <f t="shared" si="8"/>
        <v/>
      </c>
    </row>
    <row r="338" spans="1:6" ht="14.1" customHeight="1">
      <c r="A338" s="14">
        <f t="shared" si="9"/>
        <v>334</v>
      </c>
      <c r="B338" s="18"/>
      <c r="C338" s="16" t="s">
        <v>1679</v>
      </c>
      <c r="D338" s="19"/>
      <c r="E338" s="19"/>
      <c r="F338" s="203" t="str">
        <f t="shared" si="8"/>
        <v/>
      </c>
    </row>
    <row r="339" spans="1:6" ht="14.1" customHeight="1">
      <c r="A339" s="14">
        <f t="shared" si="9"/>
        <v>335</v>
      </c>
      <c r="B339" s="18"/>
      <c r="C339" s="16" t="s">
        <v>1679</v>
      </c>
      <c r="D339" s="19"/>
      <c r="E339" s="19"/>
      <c r="F339" s="203" t="str">
        <f t="shared" si="8"/>
        <v/>
      </c>
    </row>
    <row r="340" spans="1:6" ht="14.1" customHeight="1">
      <c r="A340" s="14">
        <f t="shared" si="9"/>
        <v>336</v>
      </c>
      <c r="B340" s="18"/>
      <c r="C340" s="16" t="s">
        <v>1679</v>
      </c>
      <c r="D340" s="19"/>
      <c r="E340" s="19"/>
      <c r="F340" s="203" t="str">
        <f t="shared" si="8"/>
        <v/>
      </c>
    </row>
    <row r="341" spans="1:6" ht="14.1" customHeight="1">
      <c r="A341" s="14">
        <f t="shared" si="9"/>
        <v>337</v>
      </c>
      <c r="B341" s="18"/>
      <c r="C341" s="16" t="s">
        <v>1679</v>
      </c>
      <c r="D341" s="19"/>
      <c r="E341" s="19"/>
      <c r="F341" s="203" t="str">
        <f t="shared" si="8"/>
        <v/>
      </c>
    </row>
    <row r="342" spans="1:6" ht="14.1" customHeight="1">
      <c r="A342" s="14">
        <f t="shared" si="9"/>
        <v>338</v>
      </c>
      <c r="B342" s="18"/>
      <c r="C342" s="16" t="s">
        <v>1679</v>
      </c>
      <c r="D342" s="19"/>
      <c r="E342" s="19"/>
      <c r="F342" s="203" t="str">
        <f t="shared" si="8"/>
        <v/>
      </c>
    </row>
    <row r="343" spans="1:6" ht="14.1" customHeight="1">
      <c r="A343" s="14">
        <f t="shared" si="9"/>
        <v>339</v>
      </c>
      <c r="B343" s="18"/>
      <c r="C343" s="16" t="s">
        <v>1679</v>
      </c>
      <c r="D343" s="19"/>
      <c r="E343" s="19"/>
      <c r="F343" s="203" t="str">
        <f t="shared" si="8"/>
        <v/>
      </c>
    </row>
    <row r="344" spans="1:6" ht="14.1" customHeight="1">
      <c r="A344" s="14">
        <f t="shared" si="9"/>
        <v>340</v>
      </c>
      <c r="B344" s="18"/>
      <c r="C344" s="16" t="s">
        <v>1679</v>
      </c>
      <c r="D344" s="19"/>
      <c r="E344" s="19"/>
      <c r="F344" s="203" t="str">
        <f t="shared" si="8"/>
        <v/>
      </c>
    </row>
    <row r="345" spans="1:6" ht="14.1" customHeight="1">
      <c r="A345" s="14">
        <f t="shared" si="9"/>
        <v>341</v>
      </c>
      <c r="B345" s="18"/>
      <c r="C345" s="16" t="s">
        <v>1679</v>
      </c>
      <c r="D345" s="19"/>
      <c r="E345" s="19"/>
      <c r="F345" s="203" t="str">
        <f t="shared" si="8"/>
        <v/>
      </c>
    </row>
    <row r="346" spans="1:6" ht="14.1" customHeight="1">
      <c r="A346" s="14">
        <f t="shared" si="9"/>
        <v>342</v>
      </c>
      <c r="B346" s="18"/>
      <c r="C346" s="16" t="s">
        <v>1679</v>
      </c>
      <c r="D346" s="19"/>
      <c r="E346" s="19"/>
      <c r="F346" s="203" t="str">
        <f t="shared" si="8"/>
        <v/>
      </c>
    </row>
    <row r="347" spans="1:6" ht="14.1" customHeight="1">
      <c r="A347" s="14">
        <f t="shared" si="9"/>
        <v>343</v>
      </c>
      <c r="B347" s="18"/>
      <c r="C347" s="16" t="s">
        <v>1679</v>
      </c>
      <c r="D347" s="19"/>
      <c r="E347" s="19"/>
      <c r="F347" s="203" t="str">
        <f t="shared" si="8"/>
        <v/>
      </c>
    </row>
    <row r="348" spans="1:6" ht="14.1" customHeight="1">
      <c r="A348" s="14">
        <f t="shared" si="9"/>
        <v>344</v>
      </c>
      <c r="B348" s="18"/>
      <c r="C348" s="16" t="s">
        <v>1679</v>
      </c>
      <c r="D348" s="19"/>
      <c r="E348" s="19"/>
      <c r="F348" s="203" t="str">
        <f t="shared" si="8"/>
        <v/>
      </c>
    </row>
    <row r="349" spans="1:6" ht="14.1" customHeight="1">
      <c r="A349" s="14">
        <f t="shared" si="9"/>
        <v>345</v>
      </c>
      <c r="B349" s="18"/>
      <c r="C349" s="16" t="s">
        <v>1679</v>
      </c>
      <c r="D349" s="19"/>
      <c r="E349" s="19"/>
      <c r="F349" s="203" t="str">
        <f t="shared" si="8"/>
        <v/>
      </c>
    </row>
    <row r="350" spans="1:6" ht="14.1" customHeight="1">
      <c r="A350" s="14">
        <f t="shared" si="9"/>
        <v>346</v>
      </c>
      <c r="B350" s="18"/>
      <c r="C350" s="16" t="s">
        <v>1679</v>
      </c>
      <c r="D350" s="19"/>
      <c r="E350" s="19"/>
      <c r="F350" s="203" t="str">
        <f t="shared" si="8"/>
        <v/>
      </c>
    </row>
    <row r="351" spans="1:6" ht="14.1" customHeight="1">
      <c r="A351" s="14">
        <f t="shared" si="9"/>
        <v>347</v>
      </c>
      <c r="B351" s="18"/>
      <c r="C351" s="16" t="s">
        <v>1679</v>
      </c>
      <c r="D351" s="19"/>
      <c r="E351" s="19"/>
      <c r="F351" s="203" t="str">
        <f t="shared" si="8"/>
        <v/>
      </c>
    </row>
    <row r="352" spans="1:6" ht="14.1" customHeight="1">
      <c r="A352" s="14">
        <f t="shared" si="9"/>
        <v>348</v>
      </c>
      <c r="B352" s="18"/>
      <c r="C352" s="16" t="s">
        <v>1679</v>
      </c>
      <c r="D352" s="19"/>
      <c r="E352" s="19"/>
      <c r="F352" s="203" t="str">
        <f t="shared" si="8"/>
        <v/>
      </c>
    </row>
    <row r="353" spans="1:6" ht="14.1" customHeight="1">
      <c r="A353" s="14">
        <f t="shared" si="9"/>
        <v>349</v>
      </c>
      <c r="B353" s="18"/>
      <c r="C353" s="16" t="s">
        <v>1679</v>
      </c>
      <c r="D353" s="19"/>
      <c r="E353" s="19"/>
      <c r="F353" s="203" t="str">
        <f t="shared" si="8"/>
        <v/>
      </c>
    </row>
    <row r="354" spans="1:6" ht="14.1" customHeight="1">
      <c r="A354" s="14">
        <f t="shared" si="9"/>
        <v>350</v>
      </c>
      <c r="B354" s="18"/>
      <c r="C354" s="16" t="s">
        <v>1679</v>
      </c>
      <c r="D354" s="19"/>
      <c r="E354" s="19"/>
      <c r="F354" s="203" t="str">
        <f t="shared" si="8"/>
        <v/>
      </c>
    </row>
    <row r="355" spans="1:6" ht="14.1" customHeight="1">
      <c r="A355" s="14">
        <f t="shared" si="9"/>
        <v>351</v>
      </c>
      <c r="B355" s="18"/>
      <c r="C355" s="16" t="s">
        <v>1679</v>
      </c>
      <c r="D355" s="19"/>
      <c r="E355" s="19"/>
      <c r="F355" s="203" t="str">
        <f t="shared" si="8"/>
        <v/>
      </c>
    </row>
    <row r="356" spans="1:6" ht="14.1" customHeight="1">
      <c r="A356" s="14">
        <f t="shared" si="9"/>
        <v>352</v>
      </c>
      <c r="B356" s="18"/>
      <c r="C356" s="16" t="s">
        <v>1679</v>
      </c>
      <c r="D356" s="19"/>
      <c r="E356" s="19"/>
      <c r="F356" s="203" t="str">
        <f t="shared" si="8"/>
        <v/>
      </c>
    </row>
    <row r="357" spans="1:6" ht="14.1" customHeight="1">
      <c r="A357" s="14">
        <f t="shared" si="9"/>
        <v>353</v>
      </c>
      <c r="B357" s="18"/>
      <c r="C357" s="16" t="s">
        <v>1679</v>
      </c>
      <c r="D357" s="19"/>
      <c r="E357" s="19"/>
      <c r="F357" s="203" t="str">
        <f t="shared" si="8"/>
        <v/>
      </c>
    </row>
    <row r="358" spans="1:6" ht="14.1" customHeight="1">
      <c r="A358" s="14">
        <f t="shared" si="9"/>
        <v>354</v>
      </c>
      <c r="B358" s="18"/>
      <c r="C358" s="16" t="s">
        <v>1679</v>
      </c>
      <c r="D358" s="19"/>
      <c r="E358" s="19"/>
      <c r="F358" s="203" t="str">
        <f t="shared" si="8"/>
        <v/>
      </c>
    </row>
    <row r="359" spans="1:6" ht="14.1" customHeight="1">
      <c r="A359" s="14">
        <f t="shared" si="9"/>
        <v>355</v>
      </c>
      <c r="B359" s="18"/>
      <c r="C359" s="16" t="s">
        <v>1679</v>
      </c>
      <c r="D359" s="19"/>
      <c r="E359" s="19"/>
      <c r="F359" s="203" t="str">
        <f t="shared" si="8"/>
        <v/>
      </c>
    </row>
    <row r="360" spans="1:6" ht="14.1" customHeight="1">
      <c r="A360" s="14">
        <f t="shared" si="9"/>
        <v>356</v>
      </c>
      <c r="B360" s="18"/>
      <c r="C360" s="16" t="s">
        <v>1679</v>
      </c>
      <c r="D360" s="19"/>
      <c r="E360" s="19"/>
      <c r="F360" s="203" t="str">
        <f t="shared" si="8"/>
        <v/>
      </c>
    </row>
    <row r="361" spans="1:6" ht="14.1" customHeight="1">
      <c r="A361" s="14">
        <f t="shared" si="9"/>
        <v>357</v>
      </c>
      <c r="B361" s="18"/>
      <c r="C361" s="16" t="s">
        <v>1679</v>
      </c>
      <c r="D361" s="19"/>
      <c r="E361" s="19"/>
      <c r="F361" s="203" t="str">
        <f t="shared" si="8"/>
        <v/>
      </c>
    </row>
    <row r="362" spans="1:6" ht="14.1" customHeight="1">
      <c r="A362" s="14">
        <f t="shared" si="9"/>
        <v>358</v>
      </c>
      <c r="B362" s="18"/>
      <c r="C362" s="16" t="s">
        <v>1679</v>
      </c>
      <c r="D362" s="19"/>
      <c r="E362" s="19"/>
      <c r="F362" s="203" t="str">
        <f t="shared" ref="F362:F425" si="10">IF(AND(B363&lt;&gt;"",B362=""),"Don't skip lines",IF(AND(D362="",B362&lt;&gt;""),"Enter U-value",IF(AND(D362&lt;&gt;"",B362=""),"Enter Description","")))</f>
        <v/>
      </c>
    </row>
    <row r="363" spans="1:6" ht="14.1" customHeight="1">
      <c r="A363" s="14">
        <f t="shared" si="9"/>
        <v>359</v>
      </c>
      <c r="B363" s="18"/>
      <c r="C363" s="16" t="s">
        <v>1679</v>
      </c>
      <c r="D363" s="19"/>
      <c r="E363" s="19"/>
      <c r="F363" s="203" t="str">
        <f t="shared" si="10"/>
        <v/>
      </c>
    </row>
    <row r="364" spans="1:6" ht="14.1" customHeight="1">
      <c r="A364" s="14">
        <f t="shared" si="9"/>
        <v>360</v>
      </c>
      <c r="B364" s="18"/>
      <c r="C364" s="16" t="s">
        <v>1679</v>
      </c>
      <c r="D364" s="19"/>
      <c r="E364" s="19"/>
      <c r="F364" s="203" t="str">
        <f t="shared" si="10"/>
        <v/>
      </c>
    </row>
    <row r="365" spans="1:6" ht="14.1" customHeight="1">
      <c r="A365" s="14">
        <f t="shared" si="9"/>
        <v>361</v>
      </c>
      <c r="B365" s="18"/>
      <c r="C365" s="16" t="s">
        <v>1679</v>
      </c>
      <c r="D365" s="19"/>
      <c r="E365" s="19"/>
      <c r="F365" s="203" t="str">
        <f t="shared" si="10"/>
        <v/>
      </c>
    </row>
    <row r="366" spans="1:6" ht="14.1" customHeight="1">
      <c r="A366" s="14">
        <f t="shared" si="9"/>
        <v>362</v>
      </c>
      <c r="B366" s="18"/>
      <c r="C366" s="16" t="s">
        <v>1679</v>
      </c>
      <c r="D366" s="19"/>
      <c r="E366" s="19"/>
      <c r="F366" s="203" t="str">
        <f t="shared" si="10"/>
        <v/>
      </c>
    </row>
    <row r="367" spans="1:6" ht="14.1" customHeight="1">
      <c r="A367" s="14">
        <f t="shared" si="9"/>
        <v>363</v>
      </c>
      <c r="B367" s="18"/>
      <c r="C367" s="16" t="s">
        <v>1679</v>
      </c>
      <c r="D367" s="19"/>
      <c r="E367" s="19"/>
      <c r="F367" s="203" t="str">
        <f t="shared" si="10"/>
        <v/>
      </c>
    </row>
    <row r="368" spans="1:6" ht="14.1" customHeight="1">
      <c r="A368" s="14">
        <f t="shared" si="9"/>
        <v>364</v>
      </c>
      <c r="B368" s="18"/>
      <c r="C368" s="16" t="s">
        <v>1679</v>
      </c>
      <c r="D368" s="19"/>
      <c r="E368" s="19"/>
      <c r="F368" s="203" t="str">
        <f t="shared" si="10"/>
        <v/>
      </c>
    </row>
    <row r="369" spans="1:6" ht="14.1" customHeight="1">
      <c r="A369" s="14">
        <f t="shared" si="9"/>
        <v>365</v>
      </c>
      <c r="B369" s="18"/>
      <c r="C369" s="16" t="s">
        <v>1679</v>
      </c>
      <c r="D369" s="19"/>
      <c r="E369" s="19"/>
      <c r="F369" s="203" t="str">
        <f t="shared" si="10"/>
        <v/>
      </c>
    </row>
    <row r="370" spans="1:6" ht="14.1" customHeight="1">
      <c r="A370" s="14">
        <f t="shared" si="9"/>
        <v>366</v>
      </c>
      <c r="B370" s="18"/>
      <c r="C370" s="16" t="s">
        <v>1679</v>
      </c>
      <c r="D370" s="19"/>
      <c r="E370" s="19"/>
      <c r="F370" s="203" t="str">
        <f t="shared" si="10"/>
        <v/>
      </c>
    </row>
    <row r="371" spans="1:6" ht="14.1" customHeight="1">
      <c r="A371" s="14">
        <f t="shared" si="9"/>
        <v>367</v>
      </c>
      <c r="B371" s="18"/>
      <c r="C371" s="16" t="s">
        <v>1679</v>
      </c>
      <c r="D371" s="19"/>
      <c r="E371" s="19"/>
      <c r="F371" s="203" t="str">
        <f t="shared" si="10"/>
        <v/>
      </c>
    </row>
    <row r="372" spans="1:6" ht="14.1" customHeight="1">
      <c r="A372" s="14">
        <f t="shared" si="9"/>
        <v>368</v>
      </c>
      <c r="B372" s="18"/>
      <c r="C372" s="16" t="s">
        <v>1679</v>
      </c>
      <c r="D372" s="19"/>
      <c r="E372" s="19"/>
      <c r="F372" s="203" t="str">
        <f t="shared" si="10"/>
        <v/>
      </c>
    </row>
    <row r="373" spans="1:6" ht="14.1" customHeight="1">
      <c r="A373" s="14">
        <f t="shared" si="9"/>
        <v>369</v>
      </c>
      <c r="B373" s="18"/>
      <c r="C373" s="16" t="s">
        <v>1679</v>
      </c>
      <c r="D373" s="19"/>
      <c r="E373" s="19"/>
      <c r="F373" s="203" t="str">
        <f t="shared" si="10"/>
        <v/>
      </c>
    </row>
    <row r="374" spans="1:6" ht="14.1" customHeight="1">
      <c r="A374" s="14">
        <f t="shared" si="9"/>
        <v>370</v>
      </c>
      <c r="B374" s="18"/>
      <c r="C374" s="16" t="s">
        <v>1679</v>
      </c>
      <c r="D374" s="19"/>
      <c r="E374" s="19"/>
      <c r="F374" s="203" t="str">
        <f t="shared" si="10"/>
        <v/>
      </c>
    </row>
    <row r="375" spans="1:6" ht="14.1" customHeight="1">
      <c r="A375" s="14">
        <f t="shared" si="9"/>
        <v>371</v>
      </c>
      <c r="B375" s="18"/>
      <c r="C375" s="16" t="s">
        <v>1679</v>
      </c>
      <c r="D375" s="19"/>
      <c r="E375" s="19"/>
      <c r="F375" s="203" t="str">
        <f t="shared" si="10"/>
        <v/>
      </c>
    </row>
    <row r="376" spans="1:6" ht="14.1" customHeight="1">
      <c r="A376" s="14">
        <f t="shared" si="9"/>
        <v>372</v>
      </c>
      <c r="B376" s="18"/>
      <c r="C376" s="16" t="s">
        <v>1679</v>
      </c>
      <c r="D376" s="19"/>
      <c r="E376" s="19"/>
      <c r="F376" s="203" t="str">
        <f t="shared" si="10"/>
        <v/>
      </c>
    </row>
    <row r="377" spans="1:6" ht="14.1" customHeight="1">
      <c r="A377" s="14">
        <f t="shared" si="9"/>
        <v>373</v>
      </c>
      <c r="B377" s="18"/>
      <c r="C377" s="16" t="s">
        <v>1679</v>
      </c>
      <c r="D377" s="19"/>
      <c r="E377" s="19"/>
      <c r="F377" s="203" t="str">
        <f t="shared" si="10"/>
        <v/>
      </c>
    </row>
    <row r="378" spans="1:6" ht="14.1" customHeight="1">
      <c r="A378" s="14">
        <f t="shared" si="9"/>
        <v>374</v>
      </c>
      <c r="B378" s="18"/>
      <c r="C378" s="16" t="s">
        <v>1679</v>
      </c>
      <c r="D378" s="19"/>
      <c r="E378" s="19"/>
      <c r="F378" s="203" t="str">
        <f t="shared" si="10"/>
        <v/>
      </c>
    </row>
    <row r="379" spans="1:6" ht="14.1" customHeight="1">
      <c r="A379" s="14">
        <f t="shared" si="9"/>
        <v>375</v>
      </c>
      <c r="B379" s="18"/>
      <c r="C379" s="16" t="s">
        <v>1679</v>
      </c>
      <c r="D379" s="19"/>
      <c r="E379" s="19"/>
      <c r="F379" s="203" t="str">
        <f t="shared" si="10"/>
        <v/>
      </c>
    </row>
    <row r="380" spans="1:6" ht="14.1" customHeight="1">
      <c r="A380" s="14">
        <f t="shared" si="9"/>
        <v>376</v>
      </c>
      <c r="B380" s="18"/>
      <c r="C380" s="16" t="s">
        <v>1679</v>
      </c>
      <c r="D380" s="19"/>
      <c r="E380" s="19"/>
      <c r="F380" s="203" t="str">
        <f t="shared" si="10"/>
        <v/>
      </c>
    </row>
    <row r="381" spans="1:6" ht="14.1" customHeight="1">
      <c r="A381" s="14">
        <f t="shared" si="9"/>
        <v>377</v>
      </c>
      <c r="B381" s="18"/>
      <c r="C381" s="16" t="s">
        <v>1679</v>
      </c>
      <c r="D381" s="19"/>
      <c r="E381" s="19"/>
      <c r="F381" s="203" t="str">
        <f t="shared" si="10"/>
        <v/>
      </c>
    </row>
    <row r="382" spans="1:6" ht="14.1" customHeight="1">
      <c r="A382" s="14">
        <f t="shared" si="9"/>
        <v>378</v>
      </c>
      <c r="B382" s="18"/>
      <c r="C382" s="16" t="s">
        <v>1679</v>
      </c>
      <c r="D382" s="19"/>
      <c r="E382" s="19"/>
      <c r="F382" s="203" t="str">
        <f t="shared" si="10"/>
        <v/>
      </c>
    </row>
    <row r="383" spans="1:6" ht="14.1" customHeight="1">
      <c r="A383" s="14">
        <f t="shared" si="9"/>
        <v>379</v>
      </c>
      <c r="B383" s="18"/>
      <c r="C383" s="16" t="s">
        <v>1679</v>
      </c>
      <c r="D383" s="19"/>
      <c r="E383" s="19"/>
      <c r="F383" s="203" t="str">
        <f t="shared" si="10"/>
        <v/>
      </c>
    </row>
    <row r="384" spans="1:6" ht="14.1" customHeight="1">
      <c r="A384" s="14">
        <f t="shared" si="9"/>
        <v>380</v>
      </c>
      <c r="B384" s="18"/>
      <c r="C384" s="16" t="s">
        <v>1679</v>
      </c>
      <c r="D384" s="19"/>
      <c r="E384" s="19"/>
      <c r="F384" s="203" t="str">
        <f t="shared" si="10"/>
        <v/>
      </c>
    </row>
    <row r="385" spans="1:6" ht="14.1" customHeight="1">
      <c r="A385" s="14">
        <f t="shared" si="9"/>
        <v>381</v>
      </c>
      <c r="B385" s="18"/>
      <c r="C385" s="16" t="s">
        <v>1679</v>
      </c>
      <c r="D385" s="19"/>
      <c r="E385" s="19"/>
      <c r="F385" s="203" t="str">
        <f t="shared" si="10"/>
        <v/>
      </c>
    </row>
    <row r="386" spans="1:6" ht="14.1" customHeight="1">
      <c r="A386" s="14">
        <f t="shared" si="9"/>
        <v>382</v>
      </c>
      <c r="B386" s="18"/>
      <c r="C386" s="16" t="s">
        <v>1679</v>
      </c>
      <c r="D386" s="19"/>
      <c r="E386" s="19"/>
      <c r="F386" s="203" t="str">
        <f t="shared" si="10"/>
        <v/>
      </c>
    </row>
    <row r="387" spans="1:6" ht="14.1" customHeight="1">
      <c r="A387" s="14">
        <f t="shared" ref="A387:A450" si="11">A386+1</f>
        <v>383</v>
      </c>
      <c r="B387" s="18"/>
      <c r="C387" s="16" t="s">
        <v>1679</v>
      </c>
      <c r="D387" s="19"/>
      <c r="E387" s="19"/>
      <c r="F387" s="203" t="str">
        <f t="shared" si="10"/>
        <v/>
      </c>
    </row>
    <row r="388" spans="1:6" ht="14.1" customHeight="1">
      <c r="A388" s="14">
        <f t="shared" si="11"/>
        <v>384</v>
      </c>
      <c r="B388" s="18"/>
      <c r="C388" s="16" t="s">
        <v>1679</v>
      </c>
      <c r="D388" s="19"/>
      <c r="E388" s="19"/>
      <c r="F388" s="203" t="str">
        <f t="shared" si="10"/>
        <v/>
      </c>
    </row>
    <row r="389" spans="1:6" ht="14.1" customHeight="1">
      <c r="A389" s="14">
        <f t="shared" si="11"/>
        <v>385</v>
      </c>
      <c r="B389" s="18"/>
      <c r="C389" s="16" t="s">
        <v>1679</v>
      </c>
      <c r="D389" s="19"/>
      <c r="E389" s="19"/>
      <c r="F389" s="203" t="str">
        <f t="shared" si="10"/>
        <v/>
      </c>
    </row>
    <row r="390" spans="1:6" ht="14.1" customHeight="1">
      <c r="A390" s="14">
        <f t="shared" si="11"/>
        <v>386</v>
      </c>
      <c r="B390" s="18"/>
      <c r="C390" s="16" t="s">
        <v>1679</v>
      </c>
      <c r="D390" s="19"/>
      <c r="E390" s="19"/>
      <c r="F390" s="203" t="str">
        <f t="shared" si="10"/>
        <v/>
      </c>
    </row>
    <row r="391" spans="1:6" ht="14.1" customHeight="1">
      <c r="A391" s="14">
        <f t="shared" si="11"/>
        <v>387</v>
      </c>
      <c r="B391" s="18"/>
      <c r="C391" s="16" t="s">
        <v>1679</v>
      </c>
      <c r="D391" s="19"/>
      <c r="E391" s="19"/>
      <c r="F391" s="203" t="str">
        <f t="shared" si="10"/>
        <v/>
      </c>
    </row>
    <row r="392" spans="1:6" ht="14.1" customHeight="1">
      <c r="A392" s="14">
        <f t="shared" si="11"/>
        <v>388</v>
      </c>
      <c r="B392" s="18"/>
      <c r="C392" s="16" t="s">
        <v>1679</v>
      </c>
      <c r="D392" s="19"/>
      <c r="E392" s="19"/>
      <c r="F392" s="203" t="str">
        <f t="shared" si="10"/>
        <v/>
      </c>
    </row>
    <row r="393" spans="1:6" ht="14.1" customHeight="1">
      <c r="A393" s="14">
        <f t="shared" si="11"/>
        <v>389</v>
      </c>
      <c r="B393" s="18"/>
      <c r="C393" s="16" t="s">
        <v>1679</v>
      </c>
      <c r="D393" s="19"/>
      <c r="E393" s="19"/>
      <c r="F393" s="203" t="str">
        <f t="shared" si="10"/>
        <v/>
      </c>
    </row>
    <row r="394" spans="1:6" ht="14.1" customHeight="1">
      <c r="A394" s="14">
        <f t="shared" si="11"/>
        <v>390</v>
      </c>
      <c r="B394" s="18"/>
      <c r="C394" s="16" t="s">
        <v>1679</v>
      </c>
      <c r="D394" s="19"/>
      <c r="E394" s="19"/>
      <c r="F394" s="203" t="str">
        <f t="shared" si="10"/>
        <v/>
      </c>
    </row>
    <row r="395" spans="1:6" ht="14.1" customHeight="1">
      <c r="A395" s="14">
        <f t="shared" si="11"/>
        <v>391</v>
      </c>
      <c r="B395" s="18"/>
      <c r="C395" s="16" t="s">
        <v>1679</v>
      </c>
      <c r="D395" s="19"/>
      <c r="E395" s="19"/>
      <c r="F395" s="203" t="str">
        <f t="shared" si="10"/>
        <v/>
      </c>
    </row>
    <row r="396" spans="1:6" ht="14.1" customHeight="1">
      <c r="A396" s="14">
        <f t="shared" si="11"/>
        <v>392</v>
      </c>
      <c r="B396" s="18"/>
      <c r="C396" s="16" t="s">
        <v>1679</v>
      </c>
      <c r="D396" s="19"/>
      <c r="E396" s="19"/>
      <c r="F396" s="203" t="str">
        <f t="shared" si="10"/>
        <v/>
      </c>
    </row>
    <row r="397" spans="1:6" ht="14.1" customHeight="1">
      <c r="A397" s="14">
        <f t="shared" si="11"/>
        <v>393</v>
      </c>
      <c r="B397" s="18"/>
      <c r="C397" s="16" t="s">
        <v>1679</v>
      </c>
      <c r="D397" s="19"/>
      <c r="E397" s="19"/>
      <c r="F397" s="203" t="str">
        <f t="shared" si="10"/>
        <v/>
      </c>
    </row>
    <row r="398" spans="1:6" ht="14.1" customHeight="1">
      <c r="A398" s="14">
        <f t="shared" si="11"/>
        <v>394</v>
      </c>
      <c r="B398" s="18"/>
      <c r="C398" s="16" t="s">
        <v>1679</v>
      </c>
      <c r="D398" s="19"/>
      <c r="E398" s="19"/>
      <c r="F398" s="203" t="str">
        <f t="shared" si="10"/>
        <v/>
      </c>
    </row>
    <row r="399" spans="1:6" ht="14.1" customHeight="1">
      <c r="A399" s="14">
        <f t="shared" si="11"/>
        <v>395</v>
      </c>
      <c r="B399" s="18"/>
      <c r="C399" s="16" t="s">
        <v>1679</v>
      </c>
      <c r="D399" s="19"/>
      <c r="E399" s="19"/>
      <c r="F399" s="203" t="str">
        <f t="shared" si="10"/>
        <v/>
      </c>
    </row>
    <row r="400" spans="1:6" ht="14.1" customHeight="1">
      <c r="A400" s="14">
        <f t="shared" si="11"/>
        <v>396</v>
      </c>
      <c r="B400" s="18"/>
      <c r="C400" s="16" t="s">
        <v>1679</v>
      </c>
      <c r="D400" s="19"/>
      <c r="E400" s="19"/>
      <c r="F400" s="203" t="str">
        <f t="shared" si="10"/>
        <v/>
      </c>
    </row>
    <row r="401" spans="1:6" ht="14.1" customHeight="1">
      <c r="A401" s="14">
        <f t="shared" si="11"/>
        <v>397</v>
      </c>
      <c r="B401" s="18"/>
      <c r="C401" s="16" t="s">
        <v>1679</v>
      </c>
      <c r="D401" s="19"/>
      <c r="E401" s="19"/>
      <c r="F401" s="203" t="str">
        <f t="shared" si="10"/>
        <v/>
      </c>
    </row>
    <row r="402" spans="1:6" ht="14.1" customHeight="1">
      <c r="A402" s="14">
        <f t="shared" si="11"/>
        <v>398</v>
      </c>
      <c r="B402" s="18"/>
      <c r="C402" s="16" t="s">
        <v>1679</v>
      </c>
      <c r="D402" s="19"/>
      <c r="E402" s="19"/>
      <c r="F402" s="203" t="str">
        <f t="shared" si="10"/>
        <v/>
      </c>
    </row>
    <row r="403" spans="1:6" ht="14.1" customHeight="1">
      <c r="A403" s="14">
        <f t="shared" si="11"/>
        <v>399</v>
      </c>
      <c r="B403" s="18"/>
      <c r="C403" s="16" t="s">
        <v>1679</v>
      </c>
      <c r="D403" s="19"/>
      <c r="E403" s="19"/>
      <c r="F403" s="203" t="str">
        <f t="shared" si="10"/>
        <v/>
      </c>
    </row>
    <row r="404" spans="1:6" ht="14.1" customHeight="1">
      <c r="A404" s="14">
        <f t="shared" si="11"/>
        <v>400</v>
      </c>
      <c r="B404" s="18"/>
      <c r="C404" s="16" t="s">
        <v>1679</v>
      </c>
      <c r="D404" s="19"/>
      <c r="E404" s="19"/>
      <c r="F404" s="203" t="str">
        <f t="shared" si="10"/>
        <v/>
      </c>
    </row>
    <row r="405" spans="1:6" ht="14.1" customHeight="1">
      <c r="A405" s="14">
        <f t="shared" si="11"/>
        <v>401</v>
      </c>
      <c r="B405" s="18"/>
      <c r="C405" s="16" t="s">
        <v>1679</v>
      </c>
      <c r="D405" s="19"/>
      <c r="E405" s="19"/>
      <c r="F405" s="203" t="str">
        <f t="shared" si="10"/>
        <v/>
      </c>
    </row>
    <row r="406" spans="1:6" ht="14.1" customHeight="1">
      <c r="A406" s="14">
        <f t="shared" si="11"/>
        <v>402</v>
      </c>
      <c r="B406" s="18"/>
      <c r="C406" s="16" t="s">
        <v>1679</v>
      </c>
      <c r="D406" s="19"/>
      <c r="E406" s="19"/>
      <c r="F406" s="203" t="str">
        <f t="shared" si="10"/>
        <v/>
      </c>
    </row>
    <row r="407" spans="1:6" ht="14.1" customHeight="1">
      <c r="A407" s="14">
        <f t="shared" si="11"/>
        <v>403</v>
      </c>
      <c r="B407" s="18"/>
      <c r="C407" s="16" t="s">
        <v>1679</v>
      </c>
      <c r="D407" s="19"/>
      <c r="E407" s="19"/>
      <c r="F407" s="203" t="str">
        <f t="shared" si="10"/>
        <v/>
      </c>
    </row>
    <row r="408" spans="1:6" ht="14.1" customHeight="1">
      <c r="A408" s="14">
        <f t="shared" si="11"/>
        <v>404</v>
      </c>
      <c r="B408" s="18"/>
      <c r="C408" s="16" t="s">
        <v>1679</v>
      </c>
      <c r="D408" s="19"/>
      <c r="E408" s="19"/>
      <c r="F408" s="203" t="str">
        <f t="shared" si="10"/>
        <v/>
      </c>
    </row>
    <row r="409" spans="1:6" ht="14.1" customHeight="1">
      <c r="A409" s="14">
        <f t="shared" si="11"/>
        <v>405</v>
      </c>
      <c r="B409" s="18"/>
      <c r="C409" s="16" t="s">
        <v>1679</v>
      </c>
      <c r="D409" s="19"/>
      <c r="E409" s="19"/>
      <c r="F409" s="203" t="str">
        <f t="shared" si="10"/>
        <v/>
      </c>
    </row>
    <row r="410" spans="1:6" ht="14.1" customHeight="1">
      <c r="A410" s="14">
        <f t="shared" si="11"/>
        <v>406</v>
      </c>
      <c r="B410" s="18"/>
      <c r="C410" s="16" t="s">
        <v>1679</v>
      </c>
      <c r="D410" s="19"/>
      <c r="E410" s="19"/>
      <c r="F410" s="203" t="str">
        <f t="shared" si="10"/>
        <v/>
      </c>
    </row>
    <row r="411" spans="1:6" ht="14.1" customHeight="1">
      <c r="A411" s="14">
        <f t="shared" si="11"/>
        <v>407</v>
      </c>
      <c r="B411" s="18"/>
      <c r="C411" s="16" t="s">
        <v>1679</v>
      </c>
      <c r="D411" s="19"/>
      <c r="E411" s="19"/>
      <c r="F411" s="203" t="str">
        <f t="shared" si="10"/>
        <v/>
      </c>
    </row>
    <row r="412" spans="1:6" ht="14.1" customHeight="1">
      <c r="A412" s="14">
        <f t="shared" si="11"/>
        <v>408</v>
      </c>
      <c r="B412" s="18"/>
      <c r="C412" s="16" t="s">
        <v>1679</v>
      </c>
      <c r="D412" s="19"/>
      <c r="E412" s="19"/>
      <c r="F412" s="203" t="str">
        <f t="shared" si="10"/>
        <v/>
      </c>
    </row>
    <row r="413" spans="1:6" ht="14.1" customHeight="1">
      <c r="A413" s="14">
        <f t="shared" si="11"/>
        <v>409</v>
      </c>
      <c r="B413" s="18"/>
      <c r="C413" s="16" t="s">
        <v>1679</v>
      </c>
      <c r="D413" s="19"/>
      <c r="E413" s="19"/>
      <c r="F413" s="203" t="str">
        <f t="shared" si="10"/>
        <v/>
      </c>
    </row>
    <row r="414" spans="1:6" ht="14.1" customHeight="1">
      <c r="A414" s="14">
        <f t="shared" si="11"/>
        <v>410</v>
      </c>
      <c r="B414" s="18"/>
      <c r="C414" s="16" t="s">
        <v>1679</v>
      </c>
      <c r="D414" s="19"/>
      <c r="E414" s="19"/>
      <c r="F414" s="203" t="str">
        <f t="shared" si="10"/>
        <v/>
      </c>
    </row>
    <row r="415" spans="1:6" ht="14.1" customHeight="1">
      <c r="A415" s="14">
        <f t="shared" si="11"/>
        <v>411</v>
      </c>
      <c r="B415" s="18"/>
      <c r="C415" s="16" t="s">
        <v>1679</v>
      </c>
      <c r="D415" s="19"/>
      <c r="E415" s="19"/>
      <c r="F415" s="203" t="str">
        <f t="shared" si="10"/>
        <v/>
      </c>
    </row>
    <row r="416" spans="1:6" ht="14.1" customHeight="1">
      <c r="A416" s="14">
        <f t="shared" si="11"/>
        <v>412</v>
      </c>
      <c r="B416" s="18"/>
      <c r="C416" s="16" t="s">
        <v>1679</v>
      </c>
      <c r="D416" s="19"/>
      <c r="E416" s="19"/>
      <c r="F416" s="203" t="str">
        <f t="shared" si="10"/>
        <v/>
      </c>
    </row>
    <row r="417" spans="1:6" ht="14.1" customHeight="1">
      <c r="A417" s="14">
        <f t="shared" si="11"/>
        <v>413</v>
      </c>
      <c r="B417" s="18"/>
      <c r="C417" s="16" t="s">
        <v>1679</v>
      </c>
      <c r="D417" s="19"/>
      <c r="E417" s="19"/>
      <c r="F417" s="203" t="str">
        <f t="shared" si="10"/>
        <v/>
      </c>
    </row>
    <row r="418" spans="1:6" ht="14.1" customHeight="1">
      <c r="A418" s="14">
        <f t="shared" si="11"/>
        <v>414</v>
      </c>
      <c r="B418" s="18"/>
      <c r="C418" s="16" t="s">
        <v>1679</v>
      </c>
      <c r="D418" s="19"/>
      <c r="E418" s="19"/>
      <c r="F418" s="203" t="str">
        <f t="shared" si="10"/>
        <v/>
      </c>
    </row>
    <row r="419" spans="1:6" ht="14.1" customHeight="1">
      <c r="A419" s="14">
        <f t="shared" si="11"/>
        <v>415</v>
      </c>
      <c r="B419" s="18"/>
      <c r="C419" s="16" t="s">
        <v>1679</v>
      </c>
      <c r="D419" s="19"/>
      <c r="E419" s="19"/>
      <c r="F419" s="203" t="str">
        <f t="shared" si="10"/>
        <v/>
      </c>
    </row>
    <row r="420" spans="1:6" ht="14.1" customHeight="1">
      <c r="A420" s="14">
        <f t="shared" si="11"/>
        <v>416</v>
      </c>
      <c r="B420" s="18"/>
      <c r="C420" s="16" t="s">
        <v>1679</v>
      </c>
      <c r="D420" s="19"/>
      <c r="E420" s="19"/>
      <c r="F420" s="203" t="str">
        <f t="shared" si="10"/>
        <v/>
      </c>
    </row>
    <row r="421" spans="1:6" ht="14.1" customHeight="1">
      <c r="A421" s="14">
        <f t="shared" si="11"/>
        <v>417</v>
      </c>
      <c r="B421" s="18"/>
      <c r="C421" s="16" t="s">
        <v>1679</v>
      </c>
      <c r="D421" s="19"/>
      <c r="E421" s="19"/>
      <c r="F421" s="203" t="str">
        <f t="shared" si="10"/>
        <v/>
      </c>
    </row>
    <row r="422" spans="1:6" ht="14.1" customHeight="1">
      <c r="A422" s="14">
        <f t="shared" si="11"/>
        <v>418</v>
      </c>
      <c r="B422" s="18"/>
      <c r="C422" s="16" t="s">
        <v>1679</v>
      </c>
      <c r="D422" s="19"/>
      <c r="E422" s="19"/>
      <c r="F422" s="203" t="str">
        <f t="shared" si="10"/>
        <v/>
      </c>
    </row>
    <row r="423" spans="1:6" ht="14.1" customHeight="1">
      <c r="A423" s="14">
        <f t="shared" si="11"/>
        <v>419</v>
      </c>
      <c r="B423" s="18"/>
      <c r="C423" s="16" t="s">
        <v>1679</v>
      </c>
      <c r="D423" s="19"/>
      <c r="E423" s="19"/>
      <c r="F423" s="203" t="str">
        <f t="shared" si="10"/>
        <v/>
      </c>
    </row>
    <row r="424" spans="1:6" ht="14.1" customHeight="1">
      <c r="A424" s="14">
        <f t="shared" si="11"/>
        <v>420</v>
      </c>
      <c r="B424" s="18"/>
      <c r="C424" s="16" t="s">
        <v>1679</v>
      </c>
      <c r="D424" s="19"/>
      <c r="E424" s="19"/>
      <c r="F424" s="203" t="str">
        <f t="shared" si="10"/>
        <v/>
      </c>
    </row>
    <row r="425" spans="1:6" ht="14.1" customHeight="1">
      <c r="A425" s="14">
        <f t="shared" si="11"/>
        <v>421</v>
      </c>
      <c r="B425" s="18"/>
      <c r="C425" s="16" t="s">
        <v>1679</v>
      </c>
      <c r="D425" s="19"/>
      <c r="E425" s="19"/>
      <c r="F425" s="203" t="str">
        <f t="shared" si="10"/>
        <v/>
      </c>
    </row>
    <row r="426" spans="1:6" ht="14.1" customHeight="1">
      <c r="A426" s="14">
        <f t="shared" si="11"/>
        <v>422</v>
      </c>
      <c r="B426" s="18"/>
      <c r="C426" s="16" t="s">
        <v>1679</v>
      </c>
      <c r="D426" s="19"/>
      <c r="E426" s="19"/>
      <c r="F426" s="203" t="str">
        <f t="shared" ref="F426:F489" si="12">IF(AND(B427&lt;&gt;"",B426=""),"Don't skip lines",IF(AND(D426="",B426&lt;&gt;""),"Enter U-value",IF(AND(D426&lt;&gt;"",B426=""),"Enter Description","")))</f>
        <v/>
      </c>
    </row>
    <row r="427" spans="1:6" ht="14.1" customHeight="1">
      <c r="A427" s="14">
        <f t="shared" si="11"/>
        <v>423</v>
      </c>
      <c r="B427" s="18"/>
      <c r="C427" s="16" t="s">
        <v>1679</v>
      </c>
      <c r="D427" s="19"/>
      <c r="E427" s="19"/>
      <c r="F427" s="203" t="str">
        <f t="shared" si="12"/>
        <v/>
      </c>
    </row>
    <row r="428" spans="1:6" ht="14.1" customHeight="1">
      <c r="A428" s="14">
        <f t="shared" si="11"/>
        <v>424</v>
      </c>
      <c r="B428" s="18"/>
      <c r="C428" s="16" t="s">
        <v>1679</v>
      </c>
      <c r="D428" s="19"/>
      <c r="E428" s="19"/>
      <c r="F428" s="203" t="str">
        <f t="shared" si="12"/>
        <v/>
      </c>
    </row>
    <row r="429" spans="1:6" ht="14.1" customHeight="1">
      <c r="A429" s="14">
        <f t="shared" si="11"/>
        <v>425</v>
      </c>
      <c r="B429" s="18"/>
      <c r="C429" s="16" t="s">
        <v>1679</v>
      </c>
      <c r="D429" s="19"/>
      <c r="E429" s="19"/>
      <c r="F429" s="203" t="str">
        <f t="shared" si="12"/>
        <v/>
      </c>
    </row>
    <row r="430" spans="1:6" ht="14.1" customHeight="1">
      <c r="A430" s="14">
        <f t="shared" si="11"/>
        <v>426</v>
      </c>
      <c r="B430" s="18"/>
      <c r="C430" s="16" t="s">
        <v>1679</v>
      </c>
      <c r="D430" s="19"/>
      <c r="E430" s="19"/>
      <c r="F430" s="203" t="str">
        <f t="shared" si="12"/>
        <v/>
      </c>
    </row>
    <row r="431" spans="1:6" ht="14.1" customHeight="1">
      <c r="A431" s="14">
        <f t="shared" si="11"/>
        <v>427</v>
      </c>
      <c r="B431" s="18"/>
      <c r="C431" s="16" t="s">
        <v>1679</v>
      </c>
      <c r="D431" s="19"/>
      <c r="E431" s="19"/>
      <c r="F431" s="203" t="str">
        <f t="shared" si="12"/>
        <v/>
      </c>
    </row>
    <row r="432" spans="1:6" ht="14.1" customHeight="1">
      <c r="A432" s="14">
        <f t="shared" si="11"/>
        <v>428</v>
      </c>
      <c r="B432" s="18"/>
      <c r="C432" s="16" t="s">
        <v>1679</v>
      </c>
      <c r="D432" s="19"/>
      <c r="E432" s="19"/>
      <c r="F432" s="203" t="str">
        <f t="shared" si="12"/>
        <v/>
      </c>
    </row>
    <row r="433" spans="1:6" ht="14.1" customHeight="1">
      <c r="A433" s="14">
        <f t="shared" si="11"/>
        <v>429</v>
      </c>
      <c r="B433" s="18"/>
      <c r="C433" s="16" t="s">
        <v>1679</v>
      </c>
      <c r="D433" s="19"/>
      <c r="E433" s="19"/>
      <c r="F433" s="203" t="str">
        <f t="shared" si="12"/>
        <v/>
      </c>
    </row>
    <row r="434" spans="1:6" ht="14.1" customHeight="1">
      <c r="A434" s="14">
        <f t="shared" si="11"/>
        <v>430</v>
      </c>
      <c r="B434" s="18"/>
      <c r="C434" s="16" t="s">
        <v>1679</v>
      </c>
      <c r="D434" s="19"/>
      <c r="E434" s="19"/>
      <c r="F434" s="203" t="str">
        <f t="shared" si="12"/>
        <v/>
      </c>
    </row>
    <row r="435" spans="1:6" ht="14.1" customHeight="1">
      <c r="A435" s="14">
        <f t="shared" si="11"/>
        <v>431</v>
      </c>
      <c r="B435" s="18"/>
      <c r="C435" s="16" t="s">
        <v>1679</v>
      </c>
      <c r="D435" s="19"/>
      <c r="E435" s="19"/>
      <c r="F435" s="203" t="str">
        <f t="shared" si="12"/>
        <v/>
      </c>
    </row>
    <row r="436" spans="1:6" ht="14.1" customHeight="1">
      <c r="A436" s="14">
        <f t="shared" si="11"/>
        <v>432</v>
      </c>
      <c r="B436" s="18"/>
      <c r="C436" s="16" t="s">
        <v>1679</v>
      </c>
      <c r="D436" s="19"/>
      <c r="E436" s="19"/>
      <c r="F436" s="203" t="str">
        <f t="shared" si="12"/>
        <v/>
      </c>
    </row>
    <row r="437" spans="1:6" ht="14.1" customHeight="1">
      <c r="A437" s="14">
        <f t="shared" si="11"/>
        <v>433</v>
      </c>
      <c r="B437" s="18"/>
      <c r="C437" s="16" t="s">
        <v>1679</v>
      </c>
      <c r="D437" s="19"/>
      <c r="E437" s="19"/>
      <c r="F437" s="203" t="str">
        <f t="shared" si="12"/>
        <v/>
      </c>
    </row>
    <row r="438" spans="1:6" ht="14.1" customHeight="1">
      <c r="A438" s="14">
        <f t="shared" si="11"/>
        <v>434</v>
      </c>
      <c r="B438" s="18"/>
      <c r="C438" s="16" t="s">
        <v>1679</v>
      </c>
      <c r="D438" s="19"/>
      <c r="E438" s="19"/>
      <c r="F438" s="203" t="str">
        <f t="shared" si="12"/>
        <v/>
      </c>
    </row>
    <row r="439" spans="1:6" ht="14.1" customHeight="1">
      <c r="A439" s="14">
        <f t="shared" si="11"/>
        <v>435</v>
      </c>
      <c r="B439" s="18"/>
      <c r="C439" s="16" t="s">
        <v>1679</v>
      </c>
      <c r="D439" s="19"/>
      <c r="E439" s="19"/>
      <c r="F439" s="203" t="str">
        <f t="shared" si="12"/>
        <v/>
      </c>
    </row>
    <row r="440" spans="1:6" ht="14.1" customHeight="1">
      <c r="A440" s="14">
        <f t="shared" si="11"/>
        <v>436</v>
      </c>
      <c r="B440" s="18"/>
      <c r="C440" s="16" t="s">
        <v>1679</v>
      </c>
      <c r="D440" s="19"/>
      <c r="E440" s="19"/>
      <c r="F440" s="203" t="str">
        <f t="shared" si="12"/>
        <v/>
      </c>
    </row>
    <row r="441" spans="1:6" ht="14.1" customHeight="1">
      <c r="A441" s="14">
        <f t="shared" si="11"/>
        <v>437</v>
      </c>
      <c r="B441" s="18"/>
      <c r="C441" s="16" t="s">
        <v>1679</v>
      </c>
      <c r="D441" s="19"/>
      <c r="E441" s="19"/>
      <c r="F441" s="203" t="str">
        <f t="shared" si="12"/>
        <v/>
      </c>
    </row>
    <row r="442" spans="1:6" ht="14.1" customHeight="1">
      <c r="A442" s="14">
        <f t="shared" si="11"/>
        <v>438</v>
      </c>
      <c r="B442" s="18"/>
      <c r="C442" s="16" t="s">
        <v>1679</v>
      </c>
      <c r="D442" s="19"/>
      <c r="E442" s="19"/>
      <c r="F442" s="203" t="str">
        <f t="shared" si="12"/>
        <v/>
      </c>
    </row>
    <row r="443" spans="1:6" ht="14.1" customHeight="1">
      <c r="A443" s="14">
        <f t="shared" si="11"/>
        <v>439</v>
      </c>
      <c r="B443" s="18"/>
      <c r="C443" s="16" t="s">
        <v>1679</v>
      </c>
      <c r="D443" s="19"/>
      <c r="E443" s="19"/>
      <c r="F443" s="203" t="str">
        <f t="shared" si="12"/>
        <v/>
      </c>
    </row>
    <row r="444" spans="1:6" ht="14.1" customHeight="1">
      <c r="A444" s="14">
        <f t="shared" si="11"/>
        <v>440</v>
      </c>
      <c r="B444" s="18"/>
      <c r="C444" s="16" t="s">
        <v>1679</v>
      </c>
      <c r="D444" s="19"/>
      <c r="E444" s="19"/>
      <c r="F444" s="203" t="str">
        <f t="shared" si="12"/>
        <v/>
      </c>
    </row>
    <row r="445" spans="1:6" ht="14.1" customHeight="1">
      <c r="A445" s="14">
        <f t="shared" si="11"/>
        <v>441</v>
      </c>
      <c r="B445" s="18"/>
      <c r="C445" s="16" t="s">
        <v>1679</v>
      </c>
      <c r="D445" s="19"/>
      <c r="E445" s="19"/>
      <c r="F445" s="203" t="str">
        <f t="shared" si="12"/>
        <v/>
      </c>
    </row>
    <row r="446" spans="1:6" ht="14.1" customHeight="1">
      <c r="A446" s="14">
        <f t="shared" si="11"/>
        <v>442</v>
      </c>
      <c r="B446" s="18"/>
      <c r="C446" s="16" t="s">
        <v>1679</v>
      </c>
      <c r="D446" s="19"/>
      <c r="E446" s="19"/>
      <c r="F446" s="203" t="str">
        <f t="shared" si="12"/>
        <v/>
      </c>
    </row>
    <row r="447" spans="1:6" ht="14.1" customHeight="1">
      <c r="A447" s="14">
        <f t="shared" si="11"/>
        <v>443</v>
      </c>
      <c r="B447" s="18"/>
      <c r="C447" s="16" t="s">
        <v>1679</v>
      </c>
      <c r="D447" s="19"/>
      <c r="E447" s="19"/>
      <c r="F447" s="203" t="str">
        <f t="shared" si="12"/>
        <v/>
      </c>
    </row>
    <row r="448" spans="1:6" ht="14.1" customHeight="1">
      <c r="A448" s="14">
        <f t="shared" si="11"/>
        <v>444</v>
      </c>
      <c r="B448" s="18"/>
      <c r="C448" s="16" t="s">
        <v>1679</v>
      </c>
      <c r="D448" s="19"/>
      <c r="E448" s="19"/>
      <c r="F448" s="203" t="str">
        <f t="shared" si="12"/>
        <v/>
      </c>
    </row>
    <row r="449" spans="1:6" ht="14.1" customHeight="1">
      <c r="A449" s="14">
        <f t="shared" si="11"/>
        <v>445</v>
      </c>
      <c r="B449" s="18"/>
      <c r="C449" s="16" t="s">
        <v>1679</v>
      </c>
      <c r="D449" s="19"/>
      <c r="E449" s="19"/>
      <c r="F449" s="203" t="str">
        <f t="shared" si="12"/>
        <v/>
      </c>
    </row>
    <row r="450" spans="1:6" ht="14.1" customHeight="1">
      <c r="A450" s="14">
        <f t="shared" si="11"/>
        <v>446</v>
      </c>
      <c r="B450" s="18"/>
      <c r="C450" s="16" t="s">
        <v>1679</v>
      </c>
      <c r="D450" s="19"/>
      <c r="E450" s="19"/>
      <c r="F450" s="203" t="str">
        <f t="shared" si="12"/>
        <v/>
      </c>
    </row>
    <row r="451" spans="1:6" ht="14.1" customHeight="1">
      <c r="A451" s="14">
        <f t="shared" ref="A451:A514" si="13">A450+1</f>
        <v>447</v>
      </c>
      <c r="B451" s="18"/>
      <c r="C451" s="16" t="s">
        <v>1679</v>
      </c>
      <c r="D451" s="19"/>
      <c r="E451" s="19"/>
      <c r="F451" s="203" t="str">
        <f t="shared" si="12"/>
        <v/>
      </c>
    </row>
    <row r="452" spans="1:6" ht="14.1" customHeight="1">
      <c r="A452" s="14">
        <f t="shared" si="13"/>
        <v>448</v>
      </c>
      <c r="B452" s="18"/>
      <c r="C452" s="16" t="s">
        <v>1679</v>
      </c>
      <c r="D452" s="19"/>
      <c r="E452" s="19"/>
      <c r="F452" s="203" t="str">
        <f t="shared" si="12"/>
        <v/>
      </c>
    </row>
    <row r="453" spans="1:6" ht="14.1" customHeight="1">
      <c r="A453" s="14">
        <f t="shared" si="13"/>
        <v>449</v>
      </c>
      <c r="B453" s="18"/>
      <c r="C453" s="16" t="s">
        <v>1679</v>
      </c>
      <c r="D453" s="19"/>
      <c r="E453" s="19"/>
      <c r="F453" s="203" t="str">
        <f t="shared" si="12"/>
        <v/>
      </c>
    </row>
    <row r="454" spans="1:6" ht="14.1" customHeight="1">
      <c r="A454" s="14">
        <f t="shared" si="13"/>
        <v>450</v>
      </c>
      <c r="B454" s="18"/>
      <c r="C454" s="16" t="s">
        <v>1679</v>
      </c>
      <c r="D454" s="19"/>
      <c r="E454" s="19"/>
      <c r="F454" s="203" t="str">
        <f t="shared" si="12"/>
        <v/>
      </c>
    </row>
    <row r="455" spans="1:6" ht="14.1" customHeight="1">
      <c r="A455" s="14">
        <f t="shared" si="13"/>
        <v>451</v>
      </c>
      <c r="B455" s="18"/>
      <c r="C455" s="16" t="s">
        <v>1679</v>
      </c>
      <c r="D455" s="19"/>
      <c r="E455" s="19"/>
      <c r="F455" s="203" t="str">
        <f t="shared" si="12"/>
        <v/>
      </c>
    </row>
    <row r="456" spans="1:6" ht="14.1" customHeight="1">
      <c r="A456" s="14">
        <f t="shared" si="13"/>
        <v>452</v>
      </c>
      <c r="B456" s="18"/>
      <c r="C456" s="16" t="s">
        <v>1679</v>
      </c>
      <c r="D456" s="19"/>
      <c r="E456" s="19"/>
      <c r="F456" s="203" t="str">
        <f t="shared" si="12"/>
        <v/>
      </c>
    </row>
    <row r="457" spans="1:6" ht="14.1" customHeight="1">
      <c r="A457" s="14">
        <f t="shared" si="13"/>
        <v>453</v>
      </c>
      <c r="B457" s="18"/>
      <c r="C457" s="16" t="s">
        <v>1679</v>
      </c>
      <c r="D457" s="19"/>
      <c r="E457" s="19"/>
      <c r="F457" s="203" t="str">
        <f t="shared" si="12"/>
        <v/>
      </c>
    </row>
    <row r="458" spans="1:6" ht="14.1" customHeight="1">
      <c r="A458" s="14">
        <f t="shared" si="13"/>
        <v>454</v>
      </c>
      <c r="B458" s="18"/>
      <c r="C458" s="16" t="s">
        <v>1679</v>
      </c>
      <c r="D458" s="19"/>
      <c r="E458" s="19"/>
      <c r="F458" s="203" t="str">
        <f t="shared" si="12"/>
        <v/>
      </c>
    </row>
    <row r="459" spans="1:6" ht="14.1" customHeight="1">
      <c r="A459" s="14">
        <f t="shared" si="13"/>
        <v>455</v>
      </c>
      <c r="B459" s="18"/>
      <c r="C459" s="16" t="s">
        <v>1679</v>
      </c>
      <c r="D459" s="19"/>
      <c r="E459" s="19"/>
      <c r="F459" s="203" t="str">
        <f t="shared" si="12"/>
        <v/>
      </c>
    </row>
    <row r="460" spans="1:6" ht="14.1" customHeight="1">
      <c r="A460" s="14">
        <f t="shared" si="13"/>
        <v>456</v>
      </c>
      <c r="B460" s="18"/>
      <c r="C460" s="16" t="s">
        <v>1679</v>
      </c>
      <c r="D460" s="19"/>
      <c r="E460" s="19"/>
      <c r="F460" s="203" t="str">
        <f t="shared" si="12"/>
        <v/>
      </c>
    </row>
    <row r="461" spans="1:6" ht="14.1" customHeight="1">
      <c r="A461" s="14">
        <f t="shared" si="13"/>
        <v>457</v>
      </c>
      <c r="B461" s="18"/>
      <c r="C461" s="16" t="s">
        <v>1679</v>
      </c>
      <c r="D461" s="19"/>
      <c r="E461" s="19"/>
      <c r="F461" s="203" t="str">
        <f t="shared" si="12"/>
        <v/>
      </c>
    </row>
    <row r="462" spans="1:6" ht="14.1" customHeight="1">
      <c r="A462" s="14">
        <f t="shared" si="13"/>
        <v>458</v>
      </c>
      <c r="B462" s="18"/>
      <c r="C462" s="16" t="s">
        <v>1679</v>
      </c>
      <c r="D462" s="19"/>
      <c r="E462" s="19"/>
      <c r="F462" s="203" t="str">
        <f t="shared" si="12"/>
        <v/>
      </c>
    </row>
    <row r="463" spans="1:6" ht="14.1" customHeight="1">
      <c r="A463" s="14">
        <f t="shared" si="13"/>
        <v>459</v>
      </c>
      <c r="B463" s="18"/>
      <c r="C463" s="16" t="s">
        <v>1679</v>
      </c>
      <c r="D463" s="19"/>
      <c r="E463" s="19"/>
      <c r="F463" s="203" t="str">
        <f t="shared" si="12"/>
        <v/>
      </c>
    </row>
    <row r="464" spans="1:6" ht="14.1" customHeight="1">
      <c r="A464" s="14">
        <f t="shared" si="13"/>
        <v>460</v>
      </c>
      <c r="B464" s="18"/>
      <c r="C464" s="16" t="s">
        <v>1679</v>
      </c>
      <c r="D464" s="19"/>
      <c r="E464" s="19"/>
      <c r="F464" s="203" t="str">
        <f t="shared" si="12"/>
        <v/>
      </c>
    </row>
    <row r="465" spans="1:6" ht="14.1" customHeight="1">
      <c r="A465" s="14">
        <f t="shared" si="13"/>
        <v>461</v>
      </c>
      <c r="B465" s="18"/>
      <c r="C465" s="16" t="s">
        <v>1679</v>
      </c>
      <c r="D465" s="19"/>
      <c r="E465" s="19"/>
      <c r="F465" s="203" t="str">
        <f t="shared" si="12"/>
        <v/>
      </c>
    </row>
    <row r="466" spans="1:6" ht="14.1" customHeight="1">
      <c r="A466" s="14">
        <f t="shared" si="13"/>
        <v>462</v>
      </c>
      <c r="B466" s="18"/>
      <c r="C466" s="16" t="s">
        <v>1679</v>
      </c>
      <c r="D466" s="19"/>
      <c r="E466" s="19"/>
      <c r="F466" s="203" t="str">
        <f t="shared" si="12"/>
        <v/>
      </c>
    </row>
    <row r="467" spans="1:6" ht="14.1" customHeight="1">
      <c r="A467" s="14">
        <f t="shared" si="13"/>
        <v>463</v>
      </c>
      <c r="B467" s="18"/>
      <c r="C467" s="16" t="s">
        <v>1679</v>
      </c>
      <c r="D467" s="19"/>
      <c r="E467" s="19"/>
      <c r="F467" s="203" t="str">
        <f t="shared" si="12"/>
        <v/>
      </c>
    </row>
    <row r="468" spans="1:6" ht="14.1" customHeight="1">
      <c r="A468" s="14">
        <f t="shared" si="13"/>
        <v>464</v>
      </c>
      <c r="B468" s="18"/>
      <c r="C468" s="16" t="s">
        <v>1679</v>
      </c>
      <c r="D468" s="19"/>
      <c r="E468" s="19"/>
      <c r="F468" s="203" t="str">
        <f t="shared" si="12"/>
        <v/>
      </c>
    </row>
    <row r="469" spans="1:6" ht="14.1" customHeight="1">
      <c r="A469" s="14">
        <f t="shared" si="13"/>
        <v>465</v>
      </c>
      <c r="B469" s="18"/>
      <c r="C469" s="16" t="s">
        <v>1679</v>
      </c>
      <c r="D469" s="19"/>
      <c r="E469" s="19"/>
      <c r="F469" s="203" t="str">
        <f t="shared" si="12"/>
        <v/>
      </c>
    </row>
    <row r="470" spans="1:6" ht="14.1" customHeight="1">
      <c r="A470" s="14">
        <f t="shared" si="13"/>
        <v>466</v>
      </c>
      <c r="B470" s="18"/>
      <c r="C470" s="16" t="s">
        <v>1679</v>
      </c>
      <c r="D470" s="19"/>
      <c r="E470" s="19"/>
      <c r="F470" s="203" t="str">
        <f t="shared" si="12"/>
        <v/>
      </c>
    </row>
    <row r="471" spans="1:6" ht="14.1" customHeight="1">
      <c r="A471" s="14">
        <f t="shared" si="13"/>
        <v>467</v>
      </c>
      <c r="B471" s="18"/>
      <c r="C471" s="16" t="s">
        <v>1679</v>
      </c>
      <c r="D471" s="19"/>
      <c r="E471" s="19"/>
      <c r="F471" s="203" t="str">
        <f t="shared" si="12"/>
        <v/>
      </c>
    </row>
    <row r="472" spans="1:6" ht="14.1" customHeight="1">
      <c r="A472" s="14">
        <f t="shared" si="13"/>
        <v>468</v>
      </c>
      <c r="B472" s="18"/>
      <c r="C472" s="16" t="s">
        <v>1679</v>
      </c>
      <c r="D472" s="19"/>
      <c r="E472" s="19"/>
      <c r="F472" s="203" t="str">
        <f t="shared" si="12"/>
        <v/>
      </c>
    </row>
    <row r="473" spans="1:6" ht="14.1" customHeight="1">
      <c r="A473" s="14">
        <f t="shared" si="13"/>
        <v>469</v>
      </c>
      <c r="B473" s="18"/>
      <c r="C473" s="16" t="s">
        <v>1679</v>
      </c>
      <c r="D473" s="19"/>
      <c r="E473" s="19"/>
      <c r="F473" s="203" t="str">
        <f t="shared" si="12"/>
        <v/>
      </c>
    </row>
    <row r="474" spans="1:6" ht="14.1" customHeight="1">
      <c r="A474" s="14">
        <f t="shared" si="13"/>
        <v>470</v>
      </c>
      <c r="B474" s="18"/>
      <c r="C474" s="16" t="s">
        <v>1679</v>
      </c>
      <c r="D474" s="19"/>
      <c r="E474" s="19"/>
      <c r="F474" s="203" t="str">
        <f t="shared" si="12"/>
        <v/>
      </c>
    </row>
    <row r="475" spans="1:6" ht="14.1" customHeight="1">
      <c r="A475" s="14">
        <f t="shared" si="13"/>
        <v>471</v>
      </c>
      <c r="B475" s="18"/>
      <c r="C475" s="16" t="s">
        <v>1679</v>
      </c>
      <c r="D475" s="19"/>
      <c r="E475" s="19"/>
      <c r="F475" s="203" t="str">
        <f t="shared" si="12"/>
        <v/>
      </c>
    </row>
    <row r="476" spans="1:6" ht="14.1" customHeight="1">
      <c r="A476" s="14">
        <f t="shared" si="13"/>
        <v>472</v>
      </c>
      <c r="B476" s="18"/>
      <c r="C476" s="16" t="s">
        <v>1679</v>
      </c>
      <c r="D476" s="19"/>
      <c r="E476" s="19"/>
      <c r="F476" s="203" t="str">
        <f t="shared" si="12"/>
        <v/>
      </c>
    </row>
    <row r="477" spans="1:6" ht="14.1" customHeight="1">
      <c r="A477" s="14">
        <f t="shared" si="13"/>
        <v>473</v>
      </c>
      <c r="B477" s="18"/>
      <c r="C477" s="16" t="s">
        <v>1679</v>
      </c>
      <c r="D477" s="19"/>
      <c r="E477" s="19"/>
      <c r="F477" s="203" t="str">
        <f t="shared" si="12"/>
        <v/>
      </c>
    </row>
    <row r="478" spans="1:6" ht="14.1" customHeight="1">
      <c r="A478" s="14">
        <f t="shared" si="13"/>
        <v>474</v>
      </c>
      <c r="B478" s="18"/>
      <c r="C478" s="16" t="s">
        <v>1679</v>
      </c>
      <c r="D478" s="19"/>
      <c r="E478" s="19"/>
      <c r="F478" s="203" t="str">
        <f t="shared" si="12"/>
        <v/>
      </c>
    </row>
    <row r="479" spans="1:6" ht="14.1" customHeight="1">
      <c r="A479" s="14">
        <f t="shared" si="13"/>
        <v>475</v>
      </c>
      <c r="B479" s="18"/>
      <c r="C479" s="16" t="s">
        <v>1679</v>
      </c>
      <c r="D479" s="19"/>
      <c r="E479" s="19"/>
      <c r="F479" s="203" t="str">
        <f t="shared" si="12"/>
        <v/>
      </c>
    </row>
    <row r="480" spans="1:6" ht="14.1" customHeight="1">
      <c r="A480" s="14">
        <f t="shared" si="13"/>
        <v>476</v>
      </c>
      <c r="B480" s="18"/>
      <c r="C480" s="16" t="s">
        <v>1679</v>
      </c>
      <c r="D480" s="19"/>
      <c r="E480" s="19"/>
      <c r="F480" s="203" t="str">
        <f t="shared" si="12"/>
        <v/>
      </c>
    </row>
    <row r="481" spans="1:6" ht="14.1" customHeight="1">
      <c r="A481" s="14">
        <f t="shared" si="13"/>
        <v>477</v>
      </c>
      <c r="B481" s="18"/>
      <c r="C481" s="16" t="s">
        <v>1679</v>
      </c>
      <c r="D481" s="19"/>
      <c r="E481" s="19"/>
      <c r="F481" s="203" t="str">
        <f t="shared" si="12"/>
        <v/>
      </c>
    </row>
    <row r="482" spans="1:6" ht="14.1" customHeight="1">
      <c r="A482" s="14">
        <f t="shared" si="13"/>
        <v>478</v>
      </c>
      <c r="B482" s="18"/>
      <c r="C482" s="16" t="s">
        <v>1679</v>
      </c>
      <c r="D482" s="19"/>
      <c r="E482" s="19"/>
      <c r="F482" s="203" t="str">
        <f t="shared" si="12"/>
        <v/>
      </c>
    </row>
    <row r="483" spans="1:6" ht="14.1" customHeight="1">
      <c r="A483" s="14">
        <f t="shared" si="13"/>
        <v>479</v>
      </c>
      <c r="B483" s="18"/>
      <c r="C483" s="16" t="s">
        <v>1679</v>
      </c>
      <c r="D483" s="19"/>
      <c r="E483" s="19"/>
      <c r="F483" s="203" t="str">
        <f t="shared" si="12"/>
        <v/>
      </c>
    </row>
    <row r="484" spans="1:6" ht="14.1" customHeight="1">
      <c r="A484" s="14">
        <f t="shared" si="13"/>
        <v>480</v>
      </c>
      <c r="B484" s="18"/>
      <c r="C484" s="16" t="s">
        <v>1679</v>
      </c>
      <c r="D484" s="19"/>
      <c r="E484" s="19"/>
      <c r="F484" s="203" t="str">
        <f t="shared" si="12"/>
        <v/>
      </c>
    </row>
    <row r="485" spans="1:6" ht="14.1" customHeight="1">
      <c r="A485" s="14">
        <f t="shared" si="13"/>
        <v>481</v>
      </c>
      <c r="B485" s="18"/>
      <c r="C485" s="16" t="s">
        <v>1679</v>
      </c>
      <c r="D485" s="19"/>
      <c r="E485" s="19"/>
      <c r="F485" s="203" t="str">
        <f t="shared" si="12"/>
        <v/>
      </c>
    </row>
    <row r="486" spans="1:6" ht="14.1" customHeight="1">
      <c r="A486" s="14">
        <f t="shared" si="13"/>
        <v>482</v>
      </c>
      <c r="B486" s="18"/>
      <c r="C486" s="16" t="s">
        <v>1679</v>
      </c>
      <c r="D486" s="19"/>
      <c r="E486" s="19"/>
      <c r="F486" s="203" t="str">
        <f t="shared" si="12"/>
        <v/>
      </c>
    </row>
    <row r="487" spans="1:6" ht="14.1" customHeight="1">
      <c r="A487" s="14">
        <f t="shared" si="13"/>
        <v>483</v>
      </c>
      <c r="B487" s="18"/>
      <c r="C487" s="16" t="s">
        <v>1679</v>
      </c>
      <c r="D487" s="19"/>
      <c r="E487" s="19"/>
      <c r="F487" s="203" t="str">
        <f t="shared" si="12"/>
        <v/>
      </c>
    </row>
    <row r="488" spans="1:6" ht="14.1" customHeight="1">
      <c r="A488" s="14">
        <f t="shared" si="13"/>
        <v>484</v>
      </c>
      <c r="B488" s="18"/>
      <c r="C488" s="16" t="s">
        <v>1679</v>
      </c>
      <c r="D488" s="19"/>
      <c r="E488" s="19"/>
      <c r="F488" s="203" t="str">
        <f t="shared" si="12"/>
        <v/>
      </c>
    </row>
    <row r="489" spans="1:6" ht="14.1" customHeight="1">
      <c r="A489" s="14">
        <f t="shared" si="13"/>
        <v>485</v>
      </c>
      <c r="B489" s="18"/>
      <c r="C489" s="16" t="s">
        <v>1679</v>
      </c>
      <c r="D489" s="19"/>
      <c r="E489" s="19"/>
      <c r="F489" s="203" t="str">
        <f t="shared" si="12"/>
        <v/>
      </c>
    </row>
    <row r="490" spans="1:6" ht="14.1" customHeight="1">
      <c r="A490" s="14">
        <f t="shared" si="13"/>
        <v>486</v>
      </c>
      <c r="B490" s="18"/>
      <c r="C490" s="16" t="s">
        <v>1679</v>
      </c>
      <c r="D490" s="19"/>
      <c r="E490" s="19"/>
      <c r="F490" s="203" t="str">
        <f t="shared" ref="F490:F553" si="14">IF(AND(B491&lt;&gt;"",B490=""),"Don't skip lines",IF(AND(D490="",B490&lt;&gt;""),"Enter U-value",IF(AND(D490&lt;&gt;"",B490=""),"Enter Description","")))</f>
        <v/>
      </c>
    </row>
    <row r="491" spans="1:6" ht="14.1" customHeight="1">
      <c r="A491" s="14">
        <f t="shared" si="13"/>
        <v>487</v>
      </c>
      <c r="B491" s="18"/>
      <c r="C491" s="16" t="s">
        <v>1679</v>
      </c>
      <c r="D491" s="19"/>
      <c r="E491" s="19"/>
      <c r="F491" s="203" t="str">
        <f t="shared" si="14"/>
        <v/>
      </c>
    </row>
    <row r="492" spans="1:6" ht="14.1" customHeight="1">
      <c r="A492" s="14">
        <f t="shared" si="13"/>
        <v>488</v>
      </c>
      <c r="B492" s="18"/>
      <c r="C492" s="16" t="s">
        <v>1679</v>
      </c>
      <c r="D492" s="19"/>
      <c r="E492" s="19"/>
      <c r="F492" s="203" t="str">
        <f t="shared" si="14"/>
        <v/>
      </c>
    </row>
    <row r="493" spans="1:6" ht="14.1" customHeight="1">
      <c r="A493" s="14">
        <f t="shared" si="13"/>
        <v>489</v>
      </c>
      <c r="B493" s="18"/>
      <c r="C493" s="16" t="s">
        <v>1679</v>
      </c>
      <c r="D493" s="19"/>
      <c r="E493" s="19"/>
      <c r="F493" s="203" t="str">
        <f t="shared" si="14"/>
        <v/>
      </c>
    </row>
    <row r="494" spans="1:6" ht="14.1" customHeight="1">
      <c r="A494" s="14">
        <f t="shared" si="13"/>
        <v>490</v>
      </c>
      <c r="B494" s="18"/>
      <c r="C494" s="16" t="s">
        <v>1679</v>
      </c>
      <c r="D494" s="19"/>
      <c r="E494" s="19"/>
      <c r="F494" s="203" t="str">
        <f t="shared" si="14"/>
        <v/>
      </c>
    </row>
    <row r="495" spans="1:6" ht="14.1" customHeight="1">
      <c r="A495" s="14">
        <f t="shared" si="13"/>
        <v>491</v>
      </c>
      <c r="B495" s="18"/>
      <c r="C495" s="16" t="s">
        <v>1679</v>
      </c>
      <c r="D495" s="19"/>
      <c r="E495" s="19"/>
      <c r="F495" s="203" t="str">
        <f t="shared" si="14"/>
        <v/>
      </c>
    </row>
    <row r="496" spans="1:6" ht="14.1" customHeight="1">
      <c r="A496" s="14">
        <f t="shared" si="13"/>
        <v>492</v>
      </c>
      <c r="B496" s="18"/>
      <c r="C496" s="16" t="s">
        <v>1679</v>
      </c>
      <c r="D496" s="19"/>
      <c r="E496" s="19"/>
      <c r="F496" s="203" t="str">
        <f t="shared" si="14"/>
        <v/>
      </c>
    </row>
    <row r="497" spans="1:6" ht="14.1" customHeight="1">
      <c r="A497" s="14">
        <f t="shared" si="13"/>
        <v>493</v>
      </c>
      <c r="B497" s="18"/>
      <c r="C497" s="16" t="s">
        <v>1679</v>
      </c>
      <c r="D497" s="19"/>
      <c r="E497" s="19"/>
      <c r="F497" s="203" t="str">
        <f t="shared" si="14"/>
        <v/>
      </c>
    </row>
    <row r="498" spans="1:6" ht="14.1" customHeight="1">
      <c r="A498" s="14">
        <f t="shared" si="13"/>
        <v>494</v>
      </c>
      <c r="B498" s="18"/>
      <c r="C498" s="16" t="s">
        <v>1679</v>
      </c>
      <c r="D498" s="19"/>
      <c r="E498" s="19"/>
      <c r="F498" s="203" t="str">
        <f t="shared" si="14"/>
        <v/>
      </c>
    </row>
    <row r="499" spans="1:6" ht="14.1" customHeight="1">
      <c r="A499" s="14">
        <f t="shared" si="13"/>
        <v>495</v>
      </c>
      <c r="B499" s="18"/>
      <c r="C499" s="16" t="s">
        <v>1679</v>
      </c>
      <c r="D499" s="19"/>
      <c r="E499" s="19"/>
      <c r="F499" s="203" t="str">
        <f t="shared" si="14"/>
        <v/>
      </c>
    </row>
    <row r="500" spans="1:6" ht="14.1" customHeight="1">
      <c r="A500" s="14">
        <f t="shared" si="13"/>
        <v>496</v>
      </c>
      <c r="B500" s="18"/>
      <c r="C500" s="16" t="s">
        <v>1679</v>
      </c>
      <c r="D500" s="19"/>
      <c r="E500" s="19"/>
      <c r="F500" s="203" t="str">
        <f t="shared" si="14"/>
        <v/>
      </c>
    </row>
    <row r="501" spans="1:6" ht="14.1" customHeight="1">
      <c r="A501" s="14">
        <f t="shared" si="13"/>
        <v>497</v>
      </c>
      <c r="B501" s="18"/>
      <c r="C501" s="16" t="s">
        <v>1679</v>
      </c>
      <c r="D501" s="19"/>
      <c r="E501" s="19"/>
      <c r="F501" s="203" t="str">
        <f t="shared" si="14"/>
        <v/>
      </c>
    </row>
    <row r="502" spans="1:6" ht="14.1" customHeight="1">
      <c r="A502" s="14">
        <f t="shared" si="13"/>
        <v>498</v>
      </c>
      <c r="B502" s="18"/>
      <c r="C502" s="16" t="s">
        <v>1679</v>
      </c>
      <c r="D502" s="19"/>
      <c r="E502" s="19"/>
      <c r="F502" s="203" t="str">
        <f t="shared" si="14"/>
        <v/>
      </c>
    </row>
    <row r="503" spans="1:6" ht="14.1" customHeight="1">
      <c r="A503" s="14">
        <f t="shared" si="13"/>
        <v>499</v>
      </c>
      <c r="B503" s="18"/>
      <c r="C503" s="16" t="s">
        <v>1679</v>
      </c>
      <c r="D503" s="19"/>
      <c r="E503" s="19"/>
      <c r="F503" s="203" t="str">
        <f t="shared" si="14"/>
        <v/>
      </c>
    </row>
    <row r="504" spans="1:6" ht="14.1" customHeight="1">
      <c r="A504" s="14">
        <f t="shared" si="13"/>
        <v>500</v>
      </c>
      <c r="B504" s="18"/>
      <c r="C504" s="16" t="s">
        <v>1679</v>
      </c>
      <c r="D504" s="19"/>
      <c r="E504" s="19"/>
      <c r="F504" s="203" t="str">
        <f t="shared" si="14"/>
        <v/>
      </c>
    </row>
    <row r="505" spans="1:6" ht="14.1" customHeight="1">
      <c r="A505" s="14">
        <f t="shared" si="13"/>
        <v>501</v>
      </c>
      <c r="B505" s="18"/>
      <c r="C505" s="16" t="s">
        <v>1679</v>
      </c>
      <c r="D505" s="19"/>
      <c r="E505" s="19"/>
      <c r="F505" s="203" t="str">
        <f t="shared" si="14"/>
        <v/>
      </c>
    </row>
    <row r="506" spans="1:6" ht="14.1" customHeight="1">
      <c r="A506" s="14">
        <f t="shared" si="13"/>
        <v>502</v>
      </c>
      <c r="B506" s="18"/>
      <c r="C506" s="16" t="s">
        <v>1679</v>
      </c>
      <c r="D506" s="19"/>
      <c r="E506" s="19"/>
      <c r="F506" s="203" t="str">
        <f t="shared" si="14"/>
        <v/>
      </c>
    </row>
    <row r="507" spans="1:6" ht="14.1" customHeight="1">
      <c r="A507" s="14">
        <f t="shared" si="13"/>
        <v>503</v>
      </c>
      <c r="B507" s="18"/>
      <c r="C507" s="16" t="s">
        <v>1679</v>
      </c>
      <c r="D507" s="19"/>
      <c r="E507" s="19"/>
      <c r="F507" s="203" t="str">
        <f t="shared" si="14"/>
        <v/>
      </c>
    </row>
    <row r="508" spans="1:6" ht="14.1" customHeight="1">
      <c r="A508" s="14">
        <f t="shared" si="13"/>
        <v>504</v>
      </c>
      <c r="B508" s="18"/>
      <c r="C508" s="16" t="s">
        <v>1679</v>
      </c>
      <c r="D508" s="19"/>
      <c r="E508" s="19"/>
      <c r="F508" s="203" t="str">
        <f t="shared" si="14"/>
        <v/>
      </c>
    </row>
    <row r="509" spans="1:6" ht="14.1" customHeight="1">
      <c r="A509" s="14">
        <f t="shared" si="13"/>
        <v>505</v>
      </c>
      <c r="B509" s="18"/>
      <c r="C509" s="16" t="s">
        <v>1679</v>
      </c>
      <c r="D509" s="19"/>
      <c r="E509" s="19"/>
      <c r="F509" s="203" t="str">
        <f t="shared" si="14"/>
        <v/>
      </c>
    </row>
    <row r="510" spans="1:6" ht="14.1" customHeight="1">
      <c r="A510" s="14">
        <f t="shared" si="13"/>
        <v>506</v>
      </c>
      <c r="B510" s="18"/>
      <c r="C510" s="16" t="s">
        <v>1679</v>
      </c>
      <c r="D510" s="19"/>
      <c r="E510" s="19"/>
      <c r="F510" s="203" t="str">
        <f t="shared" si="14"/>
        <v/>
      </c>
    </row>
    <row r="511" spans="1:6" ht="14.1" customHeight="1">
      <c r="A511" s="14">
        <f t="shared" si="13"/>
        <v>507</v>
      </c>
      <c r="B511" s="18"/>
      <c r="C511" s="16" t="s">
        <v>1679</v>
      </c>
      <c r="D511" s="19"/>
      <c r="E511" s="19"/>
      <c r="F511" s="203" t="str">
        <f t="shared" si="14"/>
        <v/>
      </c>
    </row>
    <row r="512" spans="1:6" ht="14.1" customHeight="1">
      <c r="A512" s="14">
        <f t="shared" si="13"/>
        <v>508</v>
      </c>
      <c r="B512" s="18"/>
      <c r="C512" s="16" t="s">
        <v>1679</v>
      </c>
      <c r="D512" s="19"/>
      <c r="E512" s="19"/>
      <c r="F512" s="203" t="str">
        <f t="shared" si="14"/>
        <v/>
      </c>
    </row>
    <row r="513" spans="1:6" ht="14.1" customHeight="1">
      <c r="A513" s="14">
        <f t="shared" si="13"/>
        <v>509</v>
      </c>
      <c r="B513" s="18"/>
      <c r="C513" s="16" t="s">
        <v>1679</v>
      </c>
      <c r="D513" s="19"/>
      <c r="E513" s="19"/>
      <c r="F513" s="203" t="str">
        <f t="shared" si="14"/>
        <v/>
      </c>
    </row>
    <row r="514" spans="1:6" ht="14.1" customHeight="1">
      <c r="A514" s="14">
        <f t="shared" si="13"/>
        <v>510</v>
      </c>
      <c r="B514" s="18"/>
      <c r="C514" s="16" t="s">
        <v>1679</v>
      </c>
      <c r="D514" s="19"/>
      <c r="E514" s="19"/>
      <c r="F514" s="203" t="str">
        <f t="shared" si="14"/>
        <v/>
      </c>
    </row>
    <row r="515" spans="1:6" ht="14.1" customHeight="1">
      <c r="A515" s="14">
        <f t="shared" ref="A515:A578" si="15">A514+1</f>
        <v>511</v>
      </c>
      <c r="B515" s="18"/>
      <c r="C515" s="16" t="s">
        <v>1679</v>
      </c>
      <c r="D515" s="19"/>
      <c r="E515" s="19"/>
      <c r="F515" s="203" t="str">
        <f t="shared" si="14"/>
        <v/>
      </c>
    </row>
    <row r="516" spans="1:6" ht="14.1" customHeight="1">
      <c r="A516" s="14">
        <f t="shared" si="15"/>
        <v>512</v>
      </c>
      <c r="B516" s="18"/>
      <c r="C516" s="16" t="s">
        <v>1679</v>
      </c>
      <c r="D516" s="19"/>
      <c r="E516" s="19"/>
      <c r="F516" s="203" t="str">
        <f t="shared" si="14"/>
        <v/>
      </c>
    </row>
    <row r="517" spans="1:6" ht="14.1" customHeight="1">
      <c r="A517" s="14">
        <f t="shared" si="15"/>
        <v>513</v>
      </c>
      <c r="B517" s="18"/>
      <c r="C517" s="16" t="s">
        <v>1679</v>
      </c>
      <c r="D517" s="19"/>
      <c r="E517" s="19"/>
      <c r="F517" s="203" t="str">
        <f t="shared" si="14"/>
        <v/>
      </c>
    </row>
    <row r="518" spans="1:6" ht="14.1" customHeight="1">
      <c r="A518" s="14">
        <f t="shared" si="15"/>
        <v>514</v>
      </c>
      <c r="B518" s="18"/>
      <c r="C518" s="16" t="s">
        <v>1679</v>
      </c>
      <c r="D518" s="19"/>
      <c r="E518" s="19"/>
      <c r="F518" s="203" t="str">
        <f t="shared" si="14"/>
        <v/>
      </c>
    </row>
    <row r="519" spans="1:6" ht="14.1" customHeight="1">
      <c r="A519" s="14">
        <f t="shared" si="15"/>
        <v>515</v>
      </c>
      <c r="B519" s="18"/>
      <c r="C519" s="16" t="s">
        <v>1679</v>
      </c>
      <c r="D519" s="19"/>
      <c r="E519" s="19"/>
      <c r="F519" s="203" t="str">
        <f t="shared" si="14"/>
        <v/>
      </c>
    </row>
    <row r="520" spans="1:6" ht="14.1" customHeight="1">
      <c r="A520" s="14">
        <f t="shared" si="15"/>
        <v>516</v>
      </c>
      <c r="B520" s="18"/>
      <c r="C520" s="16" t="s">
        <v>1679</v>
      </c>
      <c r="D520" s="19"/>
      <c r="E520" s="19"/>
      <c r="F520" s="203" t="str">
        <f t="shared" si="14"/>
        <v/>
      </c>
    </row>
    <row r="521" spans="1:6" ht="14.1" customHeight="1">
      <c r="A521" s="14">
        <f t="shared" si="15"/>
        <v>517</v>
      </c>
      <c r="B521" s="18"/>
      <c r="C521" s="16" t="s">
        <v>1679</v>
      </c>
      <c r="D521" s="19"/>
      <c r="E521" s="19"/>
      <c r="F521" s="203" t="str">
        <f t="shared" si="14"/>
        <v/>
      </c>
    </row>
    <row r="522" spans="1:6" ht="14.1" customHeight="1">
      <c r="A522" s="14">
        <f t="shared" si="15"/>
        <v>518</v>
      </c>
      <c r="B522" s="18"/>
      <c r="C522" s="16" t="s">
        <v>1679</v>
      </c>
      <c r="D522" s="19"/>
      <c r="E522" s="19"/>
      <c r="F522" s="203" t="str">
        <f t="shared" si="14"/>
        <v/>
      </c>
    </row>
    <row r="523" spans="1:6" ht="14.1" customHeight="1">
      <c r="A523" s="14">
        <f t="shared" si="15"/>
        <v>519</v>
      </c>
      <c r="B523" s="18"/>
      <c r="C523" s="16" t="s">
        <v>1679</v>
      </c>
      <c r="D523" s="19"/>
      <c r="E523" s="19"/>
      <c r="F523" s="203" t="str">
        <f t="shared" si="14"/>
        <v/>
      </c>
    </row>
    <row r="524" spans="1:6" ht="14.1" customHeight="1">
      <c r="A524" s="14">
        <f t="shared" si="15"/>
        <v>520</v>
      </c>
      <c r="B524" s="18"/>
      <c r="C524" s="16" t="s">
        <v>1679</v>
      </c>
      <c r="D524" s="19"/>
      <c r="E524" s="19"/>
      <c r="F524" s="203" t="str">
        <f t="shared" si="14"/>
        <v/>
      </c>
    </row>
    <row r="525" spans="1:6" ht="14.1" customHeight="1">
      <c r="A525" s="14">
        <f t="shared" si="15"/>
        <v>521</v>
      </c>
      <c r="B525" s="18"/>
      <c r="C525" s="16" t="s">
        <v>1679</v>
      </c>
      <c r="D525" s="19"/>
      <c r="E525" s="19"/>
      <c r="F525" s="203" t="str">
        <f t="shared" si="14"/>
        <v/>
      </c>
    </row>
    <row r="526" spans="1:6" ht="14.1" customHeight="1">
      <c r="A526" s="14">
        <f t="shared" si="15"/>
        <v>522</v>
      </c>
      <c r="B526" s="18"/>
      <c r="C526" s="16" t="s">
        <v>1679</v>
      </c>
      <c r="D526" s="19"/>
      <c r="E526" s="19"/>
      <c r="F526" s="203" t="str">
        <f t="shared" si="14"/>
        <v/>
      </c>
    </row>
    <row r="527" spans="1:6" ht="14.1" customHeight="1">
      <c r="A527" s="14">
        <f t="shared" si="15"/>
        <v>523</v>
      </c>
      <c r="B527" s="18"/>
      <c r="C527" s="16" t="s">
        <v>1679</v>
      </c>
      <c r="D527" s="19"/>
      <c r="E527" s="19"/>
      <c r="F527" s="203" t="str">
        <f t="shared" si="14"/>
        <v/>
      </c>
    </row>
    <row r="528" spans="1:6" ht="14.1" customHeight="1">
      <c r="A528" s="14">
        <f t="shared" si="15"/>
        <v>524</v>
      </c>
      <c r="B528" s="18"/>
      <c r="C528" s="16" t="s">
        <v>1679</v>
      </c>
      <c r="D528" s="19"/>
      <c r="E528" s="19"/>
      <c r="F528" s="203" t="str">
        <f t="shared" si="14"/>
        <v/>
      </c>
    </row>
    <row r="529" spans="1:6" ht="14.1" customHeight="1">
      <c r="A529" s="14">
        <f t="shared" si="15"/>
        <v>525</v>
      </c>
      <c r="B529" s="18"/>
      <c r="C529" s="16" t="s">
        <v>1679</v>
      </c>
      <c r="D529" s="19"/>
      <c r="E529" s="19"/>
      <c r="F529" s="203" t="str">
        <f t="shared" si="14"/>
        <v/>
      </c>
    </row>
    <row r="530" spans="1:6" ht="14.1" customHeight="1">
      <c r="A530" s="14">
        <f t="shared" si="15"/>
        <v>526</v>
      </c>
      <c r="B530" s="18"/>
      <c r="C530" s="16" t="s">
        <v>1679</v>
      </c>
      <c r="D530" s="19"/>
      <c r="E530" s="19"/>
      <c r="F530" s="203" t="str">
        <f t="shared" si="14"/>
        <v/>
      </c>
    </row>
    <row r="531" spans="1:6" ht="14.1" customHeight="1">
      <c r="A531" s="14">
        <f t="shared" si="15"/>
        <v>527</v>
      </c>
      <c r="B531" s="18"/>
      <c r="C531" s="16" t="s">
        <v>1679</v>
      </c>
      <c r="D531" s="19"/>
      <c r="E531" s="19"/>
      <c r="F531" s="203" t="str">
        <f t="shared" si="14"/>
        <v/>
      </c>
    </row>
    <row r="532" spans="1:6" ht="14.1" customHeight="1">
      <c r="A532" s="14">
        <f t="shared" si="15"/>
        <v>528</v>
      </c>
      <c r="B532" s="18"/>
      <c r="C532" s="16" t="s">
        <v>1679</v>
      </c>
      <c r="D532" s="19"/>
      <c r="E532" s="19"/>
      <c r="F532" s="203" t="str">
        <f t="shared" si="14"/>
        <v/>
      </c>
    </row>
    <row r="533" spans="1:6" ht="14.1" customHeight="1">
      <c r="A533" s="14">
        <f t="shared" si="15"/>
        <v>529</v>
      </c>
      <c r="B533" s="18"/>
      <c r="C533" s="16" t="s">
        <v>1679</v>
      </c>
      <c r="D533" s="19"/>
      <c r="E533" s="19"/>
      <c r="F533" s="203" t="str">
        <f t="shared" si="14"/>
        <v/>
      </c>
    </row>
    <row r="534" spans="1:6" ht="14.1" customHeight="1">
      <c r="A534" s="14">
        <f t="shared" si="15"/>
        <v>530</v>
      </c>
      <c r="B534" s="18"/>
      <c r="C534" s="16" t="s">
        <v>1679</v>
      </c>
      <c r="D534" s="19"/>
      <c r="E534" s="19"/>
      <c r="F534" s="203" t="str">
        <f t="shared" si="14"/>
        <v/>
      </c>
    </row>
    <row r="535" spans="1:6" ht="14.1" customHeight="1">
      <c r="A535" s="14">
        <f t="shared" si="15"/>
        <v>531</v>
      </c>
      <c r="B535" s="18"/>
      <c r="C535" s="16" t="s">
        <v>1679</v>
      </c>
      <c r="D535" s="19"/>
      <c r="E535" s="19"/>
      <c r="F535" s="203" t="str">
        <f t="shared" si="14"/>
        <v/>
      </c>
    </row>
    <row r="536" spans="1:6" ht="14.1" customHeight="1">
      <c r="A536" s="14">
        <f t="shared" si="15"/>
        <v>532</v>
      </c>
      <c r="B536" s="18"/>
      <c r="C536" s="16" t="s">
        <v>1679</v>
      </c>
      <c r="D536" s="19"/>
      <c r="E536" s="19"/>
      <c r="F536" s="203" t="str">
        <f t="shared" si="14"/>
        <v/>
      </c>
    </row>
    <row r="537" spans="1:6" ht="14.1" customHeight="1">
      <c r="A537" s="14">
        <f t="shared" si="15"/>
        <v>533</v>
      </c>
      <c r="B537" s="18"/>
      <c r="C537" s="16" t="s">
        <v>1679</v>
      </c>
      <c r="D537" s="19"/>
      <c r="E537" s="19"/>
      <c r="F537" s="203" t="str">
        <f t="shared" si="14"/>
        <v/>
      </c>
    </row>
    <row r="538" spans="1:6" ht="14.1" customHeight="1">
      <c r="A538" s="14">
        <f t="shared" si="15"/>
        <v>534</v>
      </c>
      <c r="B538" s="18"/>
      <c r="C538" s="16" t="s">
        <v>1679</v>
      </c>
      <c r="D538" s="19"/>
      <c r="E538" s="19"/>
      <c r="F538" s="203" t="str">
        <f t="shared" si="14"/>
        <v/>
      </c>
    </row>
    <row r="539" spans="1:6" ht="14.1" customHeight="1">
      <c r="A539" s="14">
        <f t="shared" si="15"/>
        <v>535</v>
      </c>
      <c r="B539" s="18"/>
      <c r="C539" s="16" t="s">
        <v>1679</v>
      </c>
      <c r="D539" s="19"/>
      <c r="E539" s="19"/>
      <c r="F539" s="203" t="str">
        <f t="shared" si="14"/>
        <v/>
      </c>
    </row>
    <row r="540" spans="1:6" ht="14.1" customHeight="1">
      <c r="A540" s="14">
        <f t="shared" si="15"/>
        <v>536</v>
      </c>
      <c r="B540" s="18"/>
      <c r="C540" s="16" t="s">
        <v>1679</v>
      </c>
      <c r="D540" s="19"/>
      <c r="E540" s="19"/>
      <c r="F540" s="203" t="str">
        <f t="shared" si="14"/>
        <v/>
      </c>
    </row>
    <row r="541" spans="1:6" ht="14.1" customHeight="1">
      <c r="A541" s="14">
        <f t="shared" si="15"/>
        <v>537</v>
      </c>
      <c r="B541" s="18"/>
      <c r="C541" s="16" t="s">
        <v>1679</v>
      </c>
      <c r="D541" s="19"/>
      <c r="E541" s="19"/>
      <c r="F541" s="203" t="str">
        <f t="shared" si="14"/>
        <v/>
      </c>
    </row>
    <row r="542" spans="1:6" ht="14.1" customHeight="1">
      <c r="A542" s="14">
        <f t="shared" si="15"/>
        <v>538</v>
      </c>
      <c r="B542" s="18"/>
      <c r="C542" s="16" t="s">
        <v>1679</v>
      </c>
      <c r="D542" s="19"/>
      <c r="E542" s="19"/>
      <c r="F542" s="203" t="str">
        <f t="shared" si="14"/>
        <v/>
      </c>
    </row>
    <row r="543" spans="1:6" ht="14.1" customHeight="1">
      <c r="A543" s="14">
        <f t="shared" si="15"/>
        <v>539</v>
      </c>
      <c r="B543" s="18"/>
      <c r="C543" s="16" t="s">
        <v>1679</v>
      </c>
      <c r="D543" s="19"/>
      <c r="E543" s="19"/>
      <c r="F543" s="203" t="str">
        <f t="shared" si="14"/>
        <v/>
      </c>
    </row>
    <row r="544" spans="1:6" ht="14.1" customHeight="1">
      <c r="A544" s="14">
        <f t="shared" si="15"/>
        <v>540</v>
      </c>
      <c r="B544" s="18"/>
      <c r="C544" s="16" t="s">
        <v>1679</v>
      </c>
      <c r="D544" s="19"/>
      <c r="E544" s="19"/>
      <c r="F544" s="203" t="str">
        <f t="shared" si="14"/>
        <v/>
      </c>
    </row>
    <row r="545" spans="1:6" ht="14.1" customHeight="1">
      <c r="A545" s="14">
        <f t="shared" si="15"/>
        <v>541</v>
      </c>
      <c r="B545" s="18"/>
      <c r="C545" s="16" t="s">
        <v>1679</v>
      </c>
      <c r="D545" s="19"/>
      <c r="E545" s="19"/>
      <c r="F545" s="203" t="str">
        <f t="shared" si="14"/>
        <v/>
      </c>
    </row>
    <row r="546" spans="1:6" ht="14.1" customHeight="1">
      <c r="A546" s="14">
        <f t="shared" si="15"/>
        <v>542</v>
      </c>
      <c r="B546" s="18"/>
      <c r="C546" s="16" t="s">
        <v>1679</v>
      </c>
      <c r="D546" s="19"/>
      <c r="E546" s="19"/>
      <c r="F546" s="203" t="str">
        <f t="shared" si="14"/>
        <v/>
      </c>
    </row>
    <row r="547" spans="1:6" ht="14.1" customHeight="1">
      <c r="A547" s="14">
        <f t="shared" si="15"/>
        <v>543</v>
      </c>
      <c r="B547" s="18"/>
      <c r="C547" s="16" t="s">
        <v>1679</v>
      </c>
      <c r="D547" s="19"/>
      <c r="E547" s="19"/>
      <c r="F547" s="203" t="str">
        <f t="shared" si="14"/>
        <v/>
      </c>
    </row>
    <row r="548" spans="1:6" ht="14.1" customHeight="1">
      <c r="A548" s="14">
        <f t="shared" si="15"/>
        <v>544</v>
      </c>
      <c r="B548" s="18"/>
      <c r="C548" s="16" t="s">
        <v>1679</v>
      </c>
      <c r="D548" s="19"/>
      <c r="E548" s="19"/>
      <c r="F548" s="203" t="str">
        <f t="shared" si="14"/>
        <v/>
      </c>
    </row>
    <row r="549" spans="1:6" ht="14.1" customHeight="1">
      <c r="A549" s="14">
        <f t="shared" si="15"/>
        <v>545</v>
      </c>
      <c r="B549" s="18"/>
      <c r="C549" s="16" t="s">
        <v>1679</v>
      </c>
      <c r="D549" s="19"/>
      <c r="E549" s="19"/>
      <c r="F549" s="203" t="str">
        <f t="shared" si="14"/>
        <v/>
      </c>
    </row>
    <row r="550" spans="1:6" ht="14.1" customHeight="1">
      <c r="A550" s="14">
        <f t="shared" si="15"/>
        <v>546</v>
      </c>
      <c r="B550" s="18"/>
      <c r="C550" s="16" t="s">
        <v>1679</v>
      </c>
      <c r="D550" s="19"/>
      <c r="E550" s="19"/>
      <c r="F550" s="203" t="str">
        <f t="shared" si="14"/>
        <v/>
      </c>
    </row>
    <row r="551" spans="1:6" ht="14.1" customHeight="1">
      <c r="A551" s="14">
        <f t="shared" si="15"/>
        <v>547</v>
      </c>
      <c r="B551" s="18"/>
      <c r="C551" s="16" t="s">
        <v>1679</v>
      </c>
      <c r="D551" s="19"/>
      <c r="E551" s="19"/>
      <c r="F551" s="203" t="str">
        <f t="shared" si="14"/>
        <v/>
      </c>
    </row>
    <row r="552" spans="1:6" ht="14.1" customHeight="1">
      <c r="A552" s="14">
        <f t="shared" si="15"/>
        <v>548</v>
      </c>
      <c r="B552" s="18"/>
      <c r="C552" s="16" t="s">
        <v>1679</v>
      </c>
      <c r="D552" s="19"/>
      <c r="E552" s="19"/>
      <c r="F552" s="203" t="str">
        <f t="shared" si="14"/>
        <v/>
      </c>
    </row>
    <row r="553" spans="1:6" ht="14.1" customHeight="1">
      <c r="A553" s="14">
        <f t="shared" si="15"/>
        <v>549</v>
      </c>
      <c r="B553" s="18"/>
      <c r="C553" s="16" t="s">
        <v>1679</v>
      </c>
      <c r="D553" s="19"/>
      <c r="E553" s="19"/>
      <c r="F553" s="203" t="str">
        <f t="shared" si="14"/>
        <v/>
      </c>
    </row>
    <row r="554" spans="1:6" ht="14.1" customHeight="1">
      <c r="A554" s="14">
        <f t="shared" si="15"/>
        <v>550</v>
      </c>
      <c r="B554" s="18"/>
      <c r="C554" s="16" t="s">
        <v>1679</v>
      </c>
      <c r="D554" s="19"/>
      <c r="E554" s="19"/>
      <c r="F554" s="203" t="str">
        <f t="shared" ref="F554:F617" si="16">IF(AND(B555&lt;&gt;"",B554=""),"Don't skip lines",IF(AND(D554="",B554&lt;&gt;""),"Enter U-value",IF(AND(D554&lt;&gt;"",B554=""),"Enter Description","")))</f>
        <v/>
      </c>
    </row>
    <row r="555" spans="1:6" ht="14.1" customHeight="1">
      <c r="A555" s="14">
        <f t="shared" si="15"/>
        <v>551</v>
      </c>
      <c r="B555" s="18"/>
      <c r="C555" s="16" t="s">
        <v>1679</v>
      </c>
      <c r="D555" s="19"/>
      <c r="E555" s="19"/>
      <c r="F555" s="203" t="str">
        <f t="shared" si="16"/>
        <v/>
      </c>
    </row>
    <row r="556" spans="1:6" ht="14.1" customHeight="1">
      <c r="A556" s="14">
        <f t="shared" si="15"/>
        <v>552</v>
      </c>
      <c r="B556" s="18"/>
      <c r="C556" s="16" t="s">
        <v>1679</v>
      </c>
      <c r="D556" s="19"/>
      <c r="E556" s="19"/>
      <c r="F556" s="203" t="str">
        <f t="shared" si="16"/>
        <v/>
      </c>
    </row>
    <row r="557" spans="1:6" ht="14.1" customHeight="1">
      <c r="A557" s="14">
        <f t="shared" si="15"/>
        <v>553</v>
      </c>
      <c r="B557" s="18"/>
      <c r="C557" s="16" t="s">
        <v>1679</v>
      </c>
      <c r="D557" s="19"/>
      <c r="E557" s="19"/>
      <c r="F557" s="203" t="str">
        <f t="shared" si="16"/>
        <v/>
      </c>
    </row>
    <row r="558" spans="1:6" ht="14.1" customHeight="1">
      <c r="A558" s="14">
        <f t="shared" si="15"/>
        <v>554</v>
      </c>
      <c r="B558" s="18"/>
      <c r="C558" s="16" t="s">
        <v>1679</v>
      </c>
      <c r="D558" s="19"/>
      <c r="E558" s="19"/>
      <c r="F558" s="203" t="str">
        <f t="shared" si="16"/>
        <v/>
      </c>
    </row>
    <row r="559" spans="1:6" ht="14.1" customHeight="1">
      <c r="A559" s="14">
        <f t="shared" si="15"/>
        <v>555</v>
      </c>
      <c r="B559" s="18"/>
      <c r="C559" s="16" t="s">
        <v>1679</v>
      </c>
      <c r="D559" s="19"/>
      <c r="E559" s="19"/>
      <c r="F559" s="203" t="str">
        <f t="shared" si="16"/>
        <v/>
      </c>
    </row>
    <row r="560" spans="1:6" ht="14.1" customHeight="1">
      <c r="A560" s="14">
        <f t="shared" si="15"/>
        <v>556</v>
      </c>
      <c r="B560" s="18"/>
      <c r="C560" s="16" t="s">
        <v>1679</v>
      </c>
      <c r="D560" s="19"/>
      <c r="E560" s="19"/>
      <c r="F560" s="203" t="str">
        <f t="shared" si="16"/>
        <v/>
      </c>
    </row>
    <row r="561" spans="1:6" ht="14.1" customHeight="1">
      <c r="A561" s="14">
        <f t="shared" si="15"/>
        <v>557</v>
      </c>
      <c r="B561" s="18"/>
      <c r="C561" s="16" t="s">
        <v>1679</v>
      </c>
      <c r="D561" s="19"/>
      <c r="E561" s="19"/>
      <c r="F561" s="203" t="str">
        <f t="shared" si="16"/>
        <v/>
      </c>
    </row>
    <row r="562" spans="1:6" ht="14.1" customHeight="1">
      <c r="A562" s="14">
        <f t="shared" si="15"/>
        <v>558</v>
      </c>
      <c r="B562" s="18"/>
      <c r="C562" s="16" t="s">
        <v>1679</v>
      </c>
      <c r="D562" s="19"/>
      <c r="E562" s="19"/>
      <c r="F562" s="203" t="str">
        <f t="shared" si="16"/>
        <v/>
      </c>
    </row>
    <row r="563" spans="1:6" ht="14.1" customHeight="1">
      <c r="A563" s="14">
        <f t="shared" si="15"/>
        <v>559</v>
      </c>
      <c r="B563" s="18"/>
      <c r="C563" s="16" t="s">
        <v>1679</v>
      </c>
      <c r="D563" s="19"/>
      <c r="E563" s="19"/>
      <c r="F563" s="203" t="str">
        <f t="shared" si="16"/>
        <v/>
      </c>
    </row>
    <row r="564" spans="1:6" ht="14.1" customHeight="1">
      <c r="A564" s="14">
        <f t="shared" si="15"/>
        <v>560</v>
      </c>
      <c r="B564" s="18"/>
      <c r="C564" s="16" t="s">
        <v>1679</v>
      </c>
      <c r="D564" s="19"/>
      <c r="E564" s="19"/>
      <c r="F564" s="203" t="str">
        <f t="shared" si="16"/>
        <v/>
      </c>
    </row>
    <row r="565" spans="1:6" ht="14.1" customHeight="1">
      <c r="A565" s="14">
        <f t="shared" si="15"/>
        <v>561</v>
      </c>
      <c r="B565" s="18"/>
      <c r="C565" s="16" t="s">
        <v>1679</v>
      </c>
      <c r="D565" s="19"/>
      <c r="E565" s="19"/>
      <c r="F565" s="203" t="str">
        <f t="shared" si="16"/>
        <v/>
      </c>
    </row>
    <row r="566" spans="1:6" ht="14.1" customHeight="1">
      <c r="A566" s="14">
        <f t="shared" si="15"/>
        <v>562</v>
      </c>
      <c r="B566" s="18"/>
      <c r="C566" s="16" t="s">
        <v>1679</v>
      </c>
      <c r="D566" s="19"/>
      <c r="E566" s="19"/>
      <c r="F566" s="203" t="str">
        <f t="shared" si="16"/>
        <v/>
      </c>
    </row>
    <row r="567" spans="1:6" ht="14.1" customHeight="1">
      <c r="A567" s="14">
        <f t="shared" si="15"/>
        <v>563</v>
      </c>
      <c r="B567" s="18"/>
      <c r="C567" s="16" t="s">
        <v>1679</v>
      </c>
      <c r="D567" s="19"/>
      <c r="E567" s="19"/>
      <c r="F567" s="203" t="str">
        <f t="shared" si="16"/>
        <v/>
      </c>
    </row>
    <row r="568" spans="1:6" ht="14.1" customHeight="1">
      <c r="A568" s="14">
        <f t="shared" si="15"/>
        <v>564</v>
      </c>
      <c r="B568" s="18"/>
      <c r="C568" s="16" t="s">
        <v>1679</v>
      </c>
      <c r="D568" s="19"/>
      <c r="E568" s="19"/>
      <c r="F568" s="203" t="str">
        <f t="shared" si="16"/>
        <v/>
      </c>
    </row>
    <row r="569" spans="1:6" ht="14.1" customHeight="1">
      <c r="A569" s="14">
        <f t="shared" si="15"/>
        <v>565</v>
      </c>
      <c r="B569" s="18"/>
      <c r="C569" s="16" t="s">
        <v>1679</v>
      </c>
      <c r="D569" s="19"/>
      <c r="E569" s="19"/>
      <c r="F569" s="203" t="str">
        <f t="shared" si="16"/>
        <v/>
      </c>
    </row>
    <row r="570" spans="1:6" ht="14.1" customHeight="1">
      <c r="A570" s="14">
        <f t="shared" si="15"/>
        <v>566</v>
      </c>
      <c r="B570" s="18"/>
      <c r="C570" s="16" t="s">
        <v>1679</v>
      </c>
      <c r="D570" s="19"/>
      <c r="E570" s="19"/>
      <c r="F570" s="203" t="str">
        <f t="shared" si="16"/>
        <v/>
      </c>
    </row>
    <row r="571" spans="1:6" ht="14.1" customHeight="1">
      <c r="A571" s="14">
        <f t="shared" si="15"/>
        <v>567</v>
      </c>
      <c r="B571" s="18"/>
      <c r="C571" s="16" t="s">
        <v>1679</v>
      </c>
      <c r="D571" s="19"/>
      <c r="E571" s="19"/>
      <c r="F571" s="203" t="str">
        <f t="shared" si="16"/>
        <v/>
      </c>
    </row>
    <row r="572" spans="1:6" ht="14.1" customHeight="1">
      <c r="A572" s="14">
        <f t="shared" si="15"/>
        <v>568</v>
      </c>
      <c r="B572" s="18"/>
      <c r="C572" s="16" t="s">
        <v>1679</v>
      </c>
      <c r="D572" s="19"/>
      <c r="E572" s="19"/>
      <c r="F572" s="203" t="str">
        <f t="shared" si="16"/>
        <v/>
      </c>
    </row>
    <row r="573" spans="1:6" ht="14.1" customHeight="1">
      <c r="A573" s="14">
        <f t="shared" si="15"/>
        <v>569</v>
      </c>
      <c r="B573" s="18"/>
      <c r="C573" s="16" t="s">
        <v>1679</v>
      </c>
      <c r="D573" s="19"/>
      <c r="E573" s="19"/>
      <c r="F573" s="203" t="str">
        <f t="shared" si="16"/>
        <v/>
      </c>
    </row>
    <row r="574" spans="1:6" ht="14.1" customHeight="1">
      <c r="A574" s="14">
        <f t="shared" si="15"/>
        <v>570</v>
      </c>
      <c r="B574" s="18"/>
      <c r="C574" s="16" t="s">
        <v>1679</v>
      </c>
      <c r="D574" s="19"/>
      <c r="E574" s="19"/>
      <c r="F574" s="203" t="str">
        <f t="shared" si="16"/>
        <v/>
      </c>
    </row>
    <row r="575" spans="1:6" ht="14.1" customHeight="1">
      <c r="A575" s="14">
        <f t="shared" si="15"/>
        <v>571</v>
      </c>
      <c r="B575" s="18"/>
      <c r="C575" s="16" t="s">
        <v>1679</v>
      </c>
      <c r="D575" s="19"/>
      <c r="E575" s="19"/>
      <c r="F575" s="203" t="str">
        <f t="shared" si="16"/>
        <v/>
      </c>
    </row>
    <row r="576" spans="1:6" ht="14.1" customHeight="1">
      <c r="A576" s="14">
        <f t="shared" si="15"/>
        <v>572</v>
      </c>
      <c r="B576" s="18"/>
      <c r="C576" s="16" t="s">
        <v>1679</v>
      </c>
      <c r="D576" s="19"/>
      <c r="E576" s="19"/>
      <c r="F576" s="203" t="str">
        <f t="shared" si="16"/>
        <v/>
      </c>
    </row>
    <row r="577" spans="1:6" ht="14.1" customHeight="1">
      <c r="A577" s="14">
        <f t="shared" si="15"/>
        <v>573</v>
      </c>
      <c r="B577" s="18"/>
      <c r="C577" s="16" t="s">
        <v>1679</v>
      </c>
      <c r="D577" s="19"/>
      <c r="E577" s="19"/>
      <c r="F577" s="203" t="str">
        <f t="shared" si="16"/>
        <v/>
      </c>
    </row>
    <row r="578" spans="1:6" ht="14.1" customHeight="1">
      <c r="A578" s="14">
        <f t="shared" si="15"/>
        <v>574</v>
      </c>
      <c r="B578" s="18"/>
      <c r="C578" s="16" t="s">
        <v>1679</v>
      </c>
      <c r="D578" s="19"/>
      <c r="E578" s="19"/>
      <c r="F578" s="203" t="str">
        <f t="shared" si="16"/>
        <v/>
      </c>
    </row>
    <row r="579" spans="1:6" ht="14.1" customHeight="1">
      <c r="A579" s="14">
        <f t="shared" ref="A579:A642" si="17">A578+1</f>
        <v>575</v>
      </c>
      <c r="B579" s="18"/>
      <c r="C579" s="16" t="s">
        <v>1679</v>
      </c>
      <c r="D579" s="19"/>
      <c r="E579" s="19"/>
      <c r="F579" s="203" t="str">
        <f t="shared" si="16"/>
        <v/>
      </c>
    </row>
    <row r="580" spans="1:6" ht="14.1" customHeight="1">
      <c r="A580" s="14">
        <f t="shared" si="17"/>
        <v>576</v>
      </c>
      <c r="B580" s="18"/>
      <c r="C580" s="16" t="s">
        <v>1679</v>
      </c>
      <c r="D580" s="19"/>
      <c r="E580" s="19"/>
      <c r="F580" s="203" t="str">
        <f t="shared" si="16"/>
        <v/>
      </c>
    </row>
    <row r="581" spans="1:6" ht="14.1" customHeight="1">
      <c r="A581" s="14">
        <f t="shared" si="17"/>
        <v>577</v>
      </c>
      <c r="B581" s="18"/>
      <c r="C581" s="16" t="s">
        <v>1679</v>
      </c>
      <c r="D581" s="19"/>
      <c r="E581" s="19"/>
      <c r="F581" s="203" t="str">
        <f t="shared" si="16"/>
        <v/>
      </c>
    </row>
    <row r="582" spans="1:6" ht="14.1" customHeight="1">
      <c r="A582" s="14">
        <f t="shared" si="17"/>
        <v>578</v>
      </c>
      <c r="B582" s="18"/>
      <c r="C582" s="16" t="s">
        <v>1679</v>
      </c>
      <c r="D582" s="19"/>
      <c r="E582" s="19"/>
      <c r="F582" s="203" t="str">
        <f t="shared" si="16"/>
        <v/>
      </c>
    </row>
    <row r="583" spans="1:6" ht="14.1" customHeight="1">
      <c r="A583" s="14">
        <f t="shared" si="17"/>
        <v>579</v>
      </c>
      <c r="B583" s="18"/>
      <c r="C583" s="16" t="s">
        <v>1679</v>
      </c>
      <c r="D583" s="19"/>
      <c r="E583" s="19"/>
      <c r="F583" s="203" t="str">
        <f t="shared" si="16"/>
        <v/>
      </c>
    </row>
    <row r="584" spans="1:6" ht="14.1" customHeight="1">
      <c r="A584" s="14">
        <f t="shared" si="17"/>
        <v>580</v>
      </c>
      <c r="B584" s="18"/>
      <c r="C584" s="16" t="s">
        <v>1679</v>
      </c>
      <c r="D584" s="19"/>
      <c r="E584" s="19"/>
      <c r="F584" s="203" t="str">
        <f t="shared" si="16"/>
        <v/>
      </c>
    </row>
    <row r="585" spans="1:6" ht="14.1" customHeight="1">
      <c r="A585" s="14">
        <f t="shared" si="17"/>
        <v>581</v>
      </c>
      <c r="B585" s="18"/>
      <c r="C585" s="16" t="s">
        <v>1679</v>
      </c>
      <c r="D585" s="19"/>
      <c r="E585" s="19"/>
      <c r="F585" s="203" t="str">
        <f t="shared" si="16"/>
        <v/>
      </c>
    </row>
    <row r="586" spans="1:6" ht="14.1" customHeight="1">
      <c r="A586" s="14">
        <f t="shared" si="17"/>
        <v>582</v>
      </c>
      <c r="B586" s="18"/>
      <c r="C586" s="16" t="s">
        <v>1679</v>
      </c>
      <c r="D586" s="19"/>
      <c r="E586" s="19"/>
      <c r="F586" s="203" t="str">
        <f t="shared" si="16"/>
        <v/>
      </c>
    </row>
    <row r="587" spans="1:6" ht="14.1" customHeight="1">
      <c r="A587" s="14">
        <f t="shared" si="17"/>
        <v>583</v>
      </c>
      <c r="B587" s="18"/>
      <c r="C587" s="16" t="s">
        <v>1679</v>
      </c>
      <c r="D587" s="19"/>
      <c r="E587" s="19"/>
      <c r="F587" s="203" t="str">
        <f t="shared" si="16"/>
        <v/>
      </c>
    </row>
    <row r="588" spans="1:6" ht="14.1" customHeight="1">
      <c r="A588" s="14">
        <f t="shared" si="17"/>
        <v>584</v>
      </c>
      <c r="B588" s="18"/>
      <c r="C588" s="16" t="s">
        <v>1679</v>
      </c>
      <c r="D588" s="19"/>
      <c r="E588" s="19"/>
      <c r="F588" s="203" t="str">
        <f t="shared" si="16"/>
        <v/>
      </c>
    </row>
    <row r="589" spans="1:6" ht="14.1" customHeight="1">
      <c r="A589" s="14">
        <f t="shared" si="17"/>
        <v>585</v>
      </c>
      <c r="B589" s="18"/>
      <c r="C589" s="16" t="s">
        <v>1679</v>
      </c>
      <c r="D589" s="19"/>
      <c r="E589" s="19"/>
      <c r="F589" s="203" t="str">
        <f t="shared" si="16"/>
        <v/>
      </c>
    </row>
    <row r="590" spans="1:6" ht="14.1" customHeight="1">
      <c r="A590" s="14">
        <f t="shared" si="17"/>
        <v>586</v>
      </c>
      <c r="B590" s="18"/>
      <c r="C590" s="16" t="s">
        <v>1679</v>
      </c>
      <c r="D590" s="19"/>
      <c r="E590" s="19"/>
      <c r="F590" s="203" t="str">
        <f t="shared" si="16"/>
        <v/>
      </c>
    </row>
    <row r="591" spans="1:6" ht="14.1" customHeight="1">
      <c r="A591" s="14">
        <f t="shared" si="17"/>
        <v>587</v>
      </c>
      <c r="B591" s="18"/>
      <c r="C591" s="16" t="s">
        <v>1679</v>
      </c>
      <c r="D591" s="19"/>
      <c r="E591" s="19"/>
      <c r="F591" s="203" t="str">
        <f t="shared" si="16"/>
        <v/>
      </c>
    </row>
    <row r="592" spans="1:6" ht="14.1" customHeight="1">
      <c r="A592" s="14">
        <f t="shared" si="17"/>
        <v>588</v>
      </c>
      <c r="B592" s="18"/>
      <c r="C592" s="16" t="s">
        <v>1679</v>
      </c>
      <c r="D592" s="19"/>
      <c r="E592" s="19"/>
      <c r="F592" s="203" t="str">
        <f t="shared" si="16"/>
        <v/>
      </c>
    </row>
    <row r="593" spans="1:6" ht="14.1" customHeight="1">
      <c r="A593" s="14">
        <f t="shared" si="17"/>
        <v>589</v>
      </c>
      <c r="B593" s="18"/>
      <c r="C593" s="16" t="s">
        <v>1679</v>
      </c>
      <c r="D593" s="19"/>
      <c r="E593" s="19"/>
      <c r="F593" s="203" t="str">
        <f t="shared" si="16"/>
        <v/>
      </c>
    </row>
    <row r="594" spans="1:6" ht="14.1" customHeight="1">
      <c r="A594" s="14">
        <f t="shared" si="17"/>
        <v>590</v>
      </c>
      <c r="B594" s="18"/>
      <c r="C594" s="16" t="s">
        <v>1679</v>
      </c>
      <c r="D594" s="19"/>
      <c r="E594" s="19"/>
      <c r="F594" s="203" t="str">
        <f t="shared" si="16"/>
        <v/>
      </c>
    </row>
    <row r="595" spans="1:6" ht="14.1" customHeight="1">
      <c r="A595" s="14">
        <f t="shared" si="17"/>
        <v>591</v>
      </c>
      <c r="B595" s="18"/>
      <c r="C595" s="16" t="s">
        <v>1679</v>
      </c>
      <c r="D595" s="19"/>
      <c r="E595" s="19"/>
      <c r="F595" s="203" t="str">
        <f t="shared" si="16"/>
        <v/>
      </c>
    </row>
    <row r="596" spans="1:6" ht="14.1" customHeight="1">
      <c r="A596" s="14">
        <f t="shared" si="17"/>
        <v>592</v>
      </c>
      <c r="B596" s="18"/>
      <c r="C596" s="16" t="s">
        <v>1679</v>
      </c>
      <c r="D596" s="19"/>
      <c r="E596" s="19"/>
      <c r="F596" s="203" t="str">
        <f t="shared" si="16"/>
        <v/>
      </c>
    </row>
    <row r="597" spans="1:6" ht="14.1" customHeight="1">
      <c r="A597" s="14">
        <f t="shared" si="17"/>
        <v>593</v>
      </c>
      <c r="B597" s="18"/>
      <c r="C597" s="16" t="s">
        <v>1679</v>
      </c>
      <c r="D597" s="19"/>
      <c r="E597" s="19"/>
      <c r="F597" s="203" t="str">
        <f t="shared" si="16"/>
        <v/>
      </c>
    </row>
    <row r="598" spans="1:6" ht="14.1" customHeight="1">
      <c r="A598" s="14">
        <f t="shared" si="17"/>
        <v>594</v>
      </c>
      <c r="B598" s="18"/>
      <c r="C598" s="16" t="s">
        <v>1679</v>
      </c>
      <c r="D598" s="19"/>
      <c r="E598" s="19"/>
      <c r="F598" s="203" t="str">
        <f t="shared" si="16"/>
        <v/>
      </c>
    </row>
    <row r="599" spans="1:6" ht="14.1" customHeight="1">
      <c r="A599" s="14">
        <f t="shared" si="17"/>
        <v>595</v>
      </c>
      <c r="B599" s="18"/>
      <c r="C599" s="16" t="s">
        <v>1679</v>
      </c>
      <c r="D599" s="19"/>
      <c r="E599" s="19"/>
      <c r="F599" s="203" t="str">
        <f t="shared" si="16"/>
        <v/>
      </c>
    </row>
    <row r="600" spans="1:6" ht="14.1" customHeight="1">
      <c r="A600" s="14">
        <f t="shared" si="17"/>
        <v>596</v>
      </c>
      <c r="B600" s="18"/>
      <c r="C600" s="16" t="s">
        <v>1679</v>
      </c>
      <c r="D600" s="19"/>
      <c r="E600" s="19"/>
      <c r="F600" s="203" t="str">
        <f t="shared" si="16"/>
        <v/>
      </c>
    </row>
    <row r="601" spans="1:6" ht="14.1" customHeight="1">
      <c r="A601" s="14">
        <f t="shared" si="17"/>
        <v>597</v>
      </c>
      <c r="B601" s="18"/>
      <c r="C601" s="16" t="s">
        <v>1679</v>
      </c>
      <c r="D601" s="19"/>
      <c r="E601" s="19"/>
      <c r="F601" s="203" t="str">
        <f t="shared" si="16"/>
        <v/>
      </c>
    </row>
    <row r="602" spans="1:6" ht="14.1" customHeight="1">
      <c r="A602" s="14">
        <f t="shared" si="17"/>
        <v>598</v>
      </c>
      <c r="B602" s="18"/>
      <c r="C602" s="16" t="s">
        <v>1679</v>
      </c>
      <c r="D602" s="19"/>
      <c r="E602" s="19"/>
      <c r="F602" s="203" t="str">
        <f t="shared" si="16"/>
        <v/>
      </c>
    </row>
    <row r="603" spans="1:6" ht="14.1" customHeight="1">
      <c r="A603" s="14">
        <f t="shared" si="17"/>
        <v>599</v>
      </c>
      <c r="B603" s="18"/>
      <c r="C603" s="16" t="s">
        <v>1679</v>
      </c>
      <c r="D603" s="19"/>
      <c r="E603" s="19"/>
      <c r="F603" s="203" t="str">
        <f t="shared" si="16"/>
        <v/>
      </c>
    </row>
    <row r="604" spans="1:6" ht="14.1" customHeight="1">
      <c r="A604" s="14">
        <f t="shared" si="17"/>
        <v>600</v>
      </c>
      <c r="B604" s="18"/>
      <c r="C604" s="16" t="s">
        <v>1679</v>
      </c>
      <c r="D604" s="19"/>
      <c r="E604" s="19"/>
      <c r="F604" s="203" t="str">
        <f t="shared" si="16"/>
        <v/>
      </c>
    </row>
    <row r="605" spans="1:6" ht="14.1" customHeight="1">
      <c r="A605" s="14">
        <f t="shared" si="17"/>
        <v>601</v>
      </c>
      <c r="B605" s="18"/>
      <c r="C605" s="16" t="s">
        <v>1679</v>
      </c>
      <c r="D605" s="19"/>
      <c r="E605" s="19"/>
      <c r="F605" s="203" t="str">
        <f t="shared" si="16"/>
        <v/>
      </c>
    </row>
    <row r="606" spans="1:6" ht="14.1" customHeight="1">
      <c r="A606" s="14">
        <f t="shared" si="17"/>
        <v>602</v>
      </c>
      <c r="B606" s="18"/>
      <c r="C606" s="16" t="s">
        <v>1679</v>
      </c>
      <c r="D606" s="19"/>
      <c r="E606" s="19"/>
      <c r="F606" s="203" t="str">
        <f t="shared" si="16"/>
        <v/>
      </c>
    </row>
    <row r="607" spans="1:6" ht="14.1" customHeight="1">
      <c r="A607" s="14">
        <f t="shared" si="17"/>
        <v>603</v>
      </c>
      <c r="B607" s="18"/>
      <c r="C607" s="16" t="s">
        <v>1679</v>
      </c>
      <c r="D607" s="19"/>
      <c r="E607" s="19"/>
      <c r="F607" s="203" t="str">
        <f t="shared" si="16"/>
        <v/>
      </c>
    </row>
    <row r="608" spans="1:6" ht="14.1" customHeight="1">
      <c r="A608" s="14">
        <f t="shared" si="17"/>
        <v>604</v>
      </c>
      <c r="B608" s="18"/>
      <c r="C608" s="16" t="s">
        <v>1679</v>
      </c>
      <c r="D608" s="19"/>
      <c r="E608" s="19"/>
      <c r="F608" s="203" t="str">
        <f t="shared" si="16"/>
        <v/>
      </c>
    </row>
    <row r="609" spans="1:6" ht="14.1" customHeight="1">
      <c r="A609" s="14">
        <f t="shared" si="17"/>
        <v>605</v>
      </c>
      <c r="B609" s="18"/>
      <c r="C609" s="16" t="s">
        <v>1679</v>
      </c>
      <c r="D609" s="19"/>
      <c r="E609" s="19"/>
      <c r="F609" s="203" t="str">
        <f t="shared" si="16"/>
        <v/>
      </c>
    </row>
    <row r="610" spans="1:6" ht="14.1" customHeight="1">
      <c r="A610" s="14">
        <f t="shared" si="17"/>
        <v>606</v>
      </c>
      <c r="B610" s="18"/>
      <c r="C610" s="16" t="s">
        <v>1679</v>
      </c>
      <c r="D610" s="19"/>
      <c r="E610" s="19"/>
      <c r="F610" s="203" t="str">
        <f t="shared" si="16"/>
        <v/>
      </c>
    </row>
    <row r="611" spans="1:6" ht="14.1" customHeight="1">
      <c r="A611" s="14">
        <f t="shared" si="17"/>
        <v>607</v>
      </c>
      <c r="B611" s="18"/>
      <c r="C611" s="16" t="s">
        <v>1679</v>
      </c>
      <c r="D611" s="19"/>
      <c r="E611" s="19"/>
      <c r="F611" s="203" t="str">
        <f t="shared" si="16"/>
        <v/>
      </c>
    </row>
    <row r="612" spans="1:6" ht="14.1" customHeight="1">
      <c r="A612" s="14">
        <f t="shared" si="17"/>
        <v>608</v>
      </c>
      <c r="B612" s="18"/>
      <c r="C612" s="16" t="s">
        <v>1679</v>
      </c>
      <c r="D612" s="19"/>
      <c r="E612" s="19"/>
      <c r="F612" s="203" t="str">
        <f t="shared" si="16"/>
        <v/>
      </c>
    </row>
    <row r="613" spans="1:6" ht="14.1" customHeight="1">
      <c r="A613" s="14">
        <f t="shared" si="17"/>
        <v>609</v>
      </c>
      <c r="B613" s="18"/>
      <c r="C613" s="16" t="s">
        <v>1679</v>
      </c>
      <c r="D613" s="19"/>
      <c r="E613" s="19"/>
      <c r="F613" s="203" t="str">
        <f t="shared" si="16"/>
        <v/>
      </c>
    </row>
    <row r="614" spans="1:6" ht="14.1" customHeight="1">
      <c r="A614" s="14">
        <f t="shared" si="17"/>
        <v>610</v>
      </c>
      <c r="B614" s="18"/>
      <c r="C614" s="16" t="s">
        <v>1679</v>
      </c>
      <c r="D614" s="19"/>
      <c r="E614" s="19"/>
      <c r="F614" s="203" t="str">
        <f t="shared" si="16"/>
        <v/>
      </c>
    </row>
    <row r="615" spans="1:6" ht="14.1" customHeight="1">
      <c r="A615" s="14">
        <f t="shared" si="17"/>
        <v>611</v>
      </c>
      <c r="B615" s="18"/>
      <c r="C615" s="16" t="s">
        <v>1679</v>
      </c>
      <c r="D615" s="19"/>
      <c r="E615" s="19"/>
      <c r="F615" s="203" t="str">
        <f t="shared" si="16"/>
        <v/>
      </c>
    </row>
    <row r="616" spans="1:6" ht="14.1" customHeight="1">
      <c r="A616" s="14">
        <f t="shared" si="17"/>
        <v>612</v>
      </c>
      <c r="B616" s="18"/>
      <c r="C616" s="16" t="s">
        <v>1679</v>
      </c>
      <c r="D616" s="19"/>
      <c r="E616" s="19"/>
      <c r="F616" s="203" t="str">
        <f t="shared" si="16"/>
        <v/>
      </c>
    </row>
    <row r="617" spans="1:6" ht="14.1" customHeight="1">
      <c r="A617" s="14">
        <f t="shared" si="17"/>
        <v>613</v>
      </c>
      <c r="B617" s="18"/>
      <c r="C617" s="16" t="s">
        <v>1679</v>
      </c>
      <c r="D617" s="19"/>
      <c r="E617" s="19"/>
      <c r="F617" s="203" t="str">
        <f t="shared" si="16"/>
        <v/>
      </c>
    </row>
    <row r="618" spans="1:6" ht="14.1" customHeight="1">
      <c r="A618" s="14">
        <f t="shared" si="17"/>
        <v>614</v>
      </c>
      <c r="B618" s="18"/>
      <c r="C618" s="16" t="s">
        <v>1679</v>
      </c>
      <c r="D618" s="19"/>
      <c r="E618" s="19"/>
      <c r="F618" s="203" t="str">
        <f t="shared" ref="F618:F681" si="18">IF(AND(B619&lt;&gt;"",B618=""),"Don't skip lines",IF(AND(D618="",B618&lt;&gt;""),"Enter U-value",IF(AND(D618&lt;&gt;"",B618=""),"Enter Description","")))</f>
        <v/>
      </c>
    </row>
    <row r="619" spans="1:6" ht="14.1" customHeight="1">
      <c r="A619" s="14">
        <f t="shared" si="17"/>
        <v>615</v>
      </c>
      <c r="B619" s="18"/>
      <c r="C619" s="16" t="s">
        <v>1679</v>
      </c>
      <c r="D619" s="19"/>
      <c r="E619" s="19"/>
      <c r="F619" s="203" t="str">
        <f t="shared" si="18"/>
        <v/>
      </c>
    </row>
    <row r="620" spans="1:6" ht="14.1" customHeight="1">
      <c r="A620" s="14">
        <f t="shared" si="17"/>
        <v>616</v>
      </c>
      <c r="B620" s="18"/>
      <c r="C620" s="16" t="s">
        <v>1679</v>
      </c>
      <c r="D620" s="19"/>
      <c r="E620" s="19"/>
      <c r="F620" s="203" t="str">
        <f t="shared" si="18"/>
        <v/>
      </c>
    </row>
    <row r="621" spans="1:6" ht="14.1" customHeight="1">
      <c r="A621" s="14">
        <f t="shared" si="17"/>
        <v>617</v>
      </c>
      <c r="B621" s="18"/>
      <c r="C621" s="16" t="s">
        <v>1679</v>
      </c>
      <c r="D621" s="19"/>
      <c r="E621" s="19"/>
      <c r="F621" s="203" t="str">
        <f t="shared" si="18"/>
        <v/>
      </c>
    </row>
    <row r="622" spans="1:6" ht="14.1" customHeight="1">
      <c r="A622" s="14">
        <f t="shared" si="17"/>
        <v>618</v>
      </c>
      <c r="B622" s="18"/>
      <c r="C622" s="16" t="s">
        <v>1679</v>
      </c>
      <c r="D622" s="19"/>
      <c r="E622" s="19"/>
      <c r="F622" s="203" t="str">
        <f t="shared" si="18"/>
        <v/>
      </c>
    </row>
    <row r="623" spans="1:6" ht="14.1" customHeight="1">
      <c r="A623" s="14">
        <f t="shared" si="17"/>
        <v>619</v>
      </c>
      <c r="B623" s="18"/>
      <c r="C623" s="16" t="s">
        <v>1679</v>
      </c>
      <c r="D623" s="19"/>
      <c r="E623" s="19"/>
      <c r="F623" s="203" t="str">
        <f t="shared" si="18"/>
        <v/>
      </c>
    </row>
    <row r="624" spans="1:6" ht="14.1" customHeight="1">
      <c r="A624" s="14">
        <f t="shared" si="17"/>
        <v>620</v>
      </c>
      <c r="B624" s="18"/>
      <c r="C624" s="16" t="s">
        <v>1679</v>
      </c>
      <c r="D624" s="19"/>
      <c r="E624" s="19"/>
      <c r="F624" s="203" t="str">
        <f t="shared" si="18"/>
        <v/>
      </c>
    </row>
    <row r="625" spans="1:6" ht="14.1" customHeight="1">
      <c r="A625" s="14">
        <f t="shared" si="17"/>
        <v>621</v>
      </c>
      <c r="B625" s="18"/>
      <c r="C625" s="16" t="s">
        <v>1679</v>
      </c>
      <c r="D625" s="19"/>
      <c r="E625" s="19"/>
      <c r="F625" s="203" t="str">
        <f t="shared" si="18"/>
        <v/>
      </c>
    </row>
    <row r="626" spans="1:6" ht="14.1" customHeight="1">
      <c r="A626" s="14">
        <f t="shared" si="17"/>
        <v>622</v>
      </c>
      <c r="B626" s="18"/>
      <c r="C626" s="16" t="s">
        <v>1679</v>
      </c>
      <c r="D626" s="19"/>
      <c r="E626" s="19"/>
      <c r="F626" s="203" t="str">
        <f t="shared" si="18"/>
        <v/>
      </c>
    </row>
    <row r="627" spans="1:6" ht="14.1" customHeight="1">
      <c r="A627" s="14">
        <f t="shared" si="17"/>
        <v>623</v>
      </c>
      <c r="B627" s="18"/>
      <c r="C627" s="16" t="s">
        <v>1679</v>
      </c>
      <c r="D627" s="19"/>
      <c r="E627" s="19"/>
      <c r="F627" s="203" t="str">
        <f t="shared" si="18"/>
        <v/>
      </c>
    </row>
    <row r="628" spans="1:6" ht="14.1" customHeight="1">
      <c r="A628" s="14">
        <f t="shared" si="17"/>
        <v>624</v>
      </c>
      <c r="B628" s="18"/>
      <c r="C628" s="16" t="s">
        <v>1679</v>
      </c>
      <c r="D628" s="19"/>
      <c r="E628" s="19"/>
      <c r="F628" s="203" t="str">
        <f t="shared" si="18"/>
        <v/>
      </c>
    </row>
    <row r="629" spans="1:6" ht="14.1" customHeight="1">
      <c r="A629" s="14">
        <f t="shared" si="17"/>
        <v>625</v>
      </c>
      <c r="B629" s="18"/>
      <c r="C629" s="16" t="s">
        <v>1679</v>
      </c>
      <c r="D629" s="19"/>
      <c r="E629" s="19"/>
      <c r="F629" s="203" t="str">
        <f t="shared" si="18"/>
        <v/>
      </c>
    </row>
    <row r="630" spans="1:6" ht="14.1" customHeight="1">
      <c r="A630" s="14">
        <f t="shared" si="17"/>
        <v>626</v>
      </c>
      <c r="B630" s="18"/>
      <c r="C630" s="16" t="s">
        <v>1679</v>
      </c>
      <c r="D630" s="19"/>
      <c r="E630" s="19"/>
      <c r="F630" s="203" t="str">
        <f t="shared" si="18"/>
        <v/>
      </c>
    </row>
    <row r="631" spans="1:6" ht="14.1" customHeight="1">
      <c r="A631" s="14">
        <f t="shared" si="17"/>
        <v>627</v>
      </c>
      <c r="B631" s="18"/>
      <c r="C631" s="16" t="s">
        <v>1679</v>
      </c>
      <c r="D631" s="19"/>
      <c r="E631" s="19"/>
      <c r="F631" s="203" t="str">
        <f t="shared" si="18"/>
        <v/>
      </c>
    </row>
    <row r="632" spans="1:6" ht="14.1" customHeight="1">
      <c r="A632" s="14">
        <f t="shared" si="17"/>
        <v>628</v>
      </c>
      <c r="B632" s="18"/>
      <c r="C632" s="16" t="s">
        <v>1679</v>
      </c>
      <c r="D632" s="19"/>
      <c r="E632" s="19"/>
      <c r="F632" s="203" t="str">
        <f t="shared" si="18"/>
        <v/>
      </c>
    </row>
    <row r="633" spans="1:6" ht="14.1" customHeight="1">
      <c r="A633" s="14">
        <f t="shared" si="17"/>
        <v>629</v>
      </c>
      <c r="B633" s="18"/>
      <c r="C633" s="16" t="s">
        <v>1679</v>
      </c>
      <c r="D633" s="19"/>
      <c r="E633" s="19"/>
      <c r="F633" s="203" t="str">
        <f t="shared" si="18"/>
        <v/>
      </c>
    </row>
    <row r="634" spans="1:6" ht="14.1" customHeight="1">
      <c r="A634" s="14">
        <f t="shared" si="17"/>
        <v>630</v>
      </c>
      <c r="B634" s="18"/>
      <c r="C634" s="16" t="s">
        <v>1679</v>
      </c>
      <c r="D634" s="19"/>
      <c r="E634" s="19"/>
      <c r="F634" s="203" t="str">
        <f t="shared" si="18"/>
        <v/>
      </c>
    </row>
    <row r="635" spans="1:6" ht="14.1" customHeight="1">
      <c r="A635" s="14">
        <f t="shared" si="17"/>
        <v>631</v>
      </c>
      <c r="B635" s="18"/>
      <c r="C635" s="16" t="s">
        <v>1679</v>
      </c>
      <c r="D635" s="19"/>
      <c r="E635" s="19"/>
      <c r="F635" s="203" t="str">
        <f t="shared" si="18"/>
        <v/>
      </c>
    </row>
    <row r="636" spans="1:6" ht="14.1" customHeight="1">
      <c r="A636" s="14">
        <f t="shared" si="17"/>
        <v>632</v>
      </c>
      <c r="B636" s="18"/>
      <c r="C636" s="16" t="s">
        <v>1679</v>
      </c>
      <c r="D636" s="19"/>
      <c r="E636" s="19"/>
      <c r="F636" s="203" t="str">
        <f t="shared" si="18"/>
        <v/>
      </c>
    </row>
    <row r="637" spans="1:6" ht="14.1" customHeight="1">
      <c r="A637" s="14">
        <f t="shared" si="17"/>
        <v>633</v>
      </c>
      <c r="B637" s="18"/>
      <c r="C637" s="16" t="s">
        <v>1679</v>
      </c>
      <c r="D637" s="19"/>
      <c r="E637" s="19"/>
      <c r="F637" s="203" t="str">
        <f t="shared" si="18"/>
        <v/>
      </c>
    </row>
    <row r="638" spans="1:6" ht="14.1" customHeight="1">
      <c r="A638" s="14">
        <f t="shared" si="17"/>
        <v>634</v>
      </c>
      <c r="B638" s="18"/>
      <c r="C638" s="16" t="s">
        <v>1679</v>
      </c>
      <c r="D638" s="19"/>
      <c r="E638" s="19"/>
      <c r="F638" s="203" t="str">
        <f t="shared" si="18"/>
        <v/>
      </c>
    </row>
    <row r="639" spans="1:6" ht="14.1" customHeight="1">
      <c r="A639" s="14">
        <f t="shared" si="17"/>
        <v>635</v>
      </c>
      <c r="B639" s="18"/>
      <c r="C639" s="16" t="s">
        <v>1679</v>
      </c>
      <c r="D639" s="19"/>
      <c r="E639" s="19"/>
      <c r="F639" s="203" t="str">
        <f t="shared" si="18"/>
        <v/>
      </c>
    </row>
    <row r="640" spans="1:6" ht="14.1" customHeight="1">
      <c r="A640" s="14">
        <f t="shared" si="17"/>
        <v>636</v>
      </c>
      <c r="B640" s="18"/>
      <c r="C640" s="16" t="s">
        <v>1679</v>
      </c>
      <c r="D640" s="19"/>
      <c r="E640" s="19"/>
      <c r="F640" s="203" t="str">
        <f t="shared" si="18"/>
        <v/>
      </c>
    </row>
    <row r="641" spans="1:6" ht="14.1" customHeight="1">
      <c r="A641" s="14">
        <f t="shared" si="17"/>
        <v>637</v>
      </c>
      <c r="B641" s="18"/>
      <c r="C641" s="16" t="s">
        <v>1679</v>
      </c>
      <c r="D641" s="19"/>
      <c r="E641" s="19"/>
      <c r="F641" s="203" t="str">
        <f t="shared" si="18"/>
        <v/>
      </c>
    </row>
    <row r="642" spans="1:6" ht="14.1" customHeight="1">
      <c r="A642" s="14">
        <f t="shared" si="17"/>
        <v>638</v>
      </c>
      <c r="B642" s="18"/>
      <c r="C642" s="16" t="s">
        <v>1679</v>
      </c>
      <c r="D642" s="19"/>
      <c r="E642" s="19"/>
      <c r="F642" s="203" t="str">
        <f t="shared" si="18"/>
        <v/>
      </c>
    </row>
    <row r="643" spans="1:6" ht="14.1" customHeight="1">
      <c r="A643" s="14">
        <f t="shared" ref="A643:A706" si="19">A642+1</f>
        <v>639</v>
      </c>
      <c r="B643" s="18"/>
      <c r="C643" s="16" t="s">
        <v>1679</v>
      </c>
      <c r="D643" s="19"/>
      <c r="E643" s="19"/>
      <c r="F643" s="203" t="str">
        <f t="shared" si="18"/>
        <v/>
      </c>
    </row>
    <row r="644" spans="1:6" ht="14.1" customHeight="1">
      <c r="A644" s="14">
        <f t="shared" si="19"/>
        <v>640</v>
      </c>
      <c r="B644" s="18"/>
      <c r="C644" s="16" t="s">
        <v>1679</v>
      </c>
      <c r="D644" s="19"/>
      <c r="E644" s="19"/>
      <c r="F644" s="203" t="str">
        <f t="shared" si="18"/>
        <v/>
      </c>
    </row>
    <row r="645" spans="1:6" ht="14.1" customHeight="1">
      <c r="A645" s="14">
        <f t="shared" si="19"/>
        <v>641</v>
      </c>
      <c r="B645" s="18"/>
      <c r="C645" s="16" t="s">
        <v>1679</v>
      </c>
      <c r="D645" s="19"/>
      <c r="E645" s="19"/>
      <c r="F645" s="203" t="str">
        <f t="shared" si="18"/>
        <v/>
      </c>
    </row>
    <row r="646" spans="1:6" ht="14.1" customHeight="1">
      <c r="A646" s="14">
        <f t="shared" si="19"/>
        <v>642</v>
      </c>
      <c r="B646" s="18"/>
      <c r="C646" s="16" t="s">
        <v>1679</v>
      </c>
      <c r="D646" s="19"/>
      <c r="E646" s="19"/>
      <c r="F646" s="203" t="str">
        <f t="shared" si="18"/>
        <v/>
      </c>
    </row>
    <row r="647" spans="1:6" ht="14.1" customHeight="1">
      <c r="A647" s="14">
        <f t="shared" si="19"/>
        <v>643</v>
      </c>
      <c r="B647" s="18"/>
      <c r="C647" s="16" t="s">
        <v>1679</v>
      </c>
      <c r="D647" s="19"/>
      <c r="E647" s="19"/>
      <c r="F647" s="203" t="str">
        <f t="shared" si="18"/>
        <v/>
      </c>
    </row>
    <row r="648" spans="1:6" ht="14.1" customHeight="1">
      <c r="A648" s="14">
        <f t="shared" si="19"/>
        <v>644</v>
      </c>
      <c r="B648" s="18"/>
      <c r="C648" s="16" t="s">
        <v>1679</v>
      </c>
      <c r="D648" s="19"/>
      <c r="E648" s="19"/>
      <c r="F648" s="203" t="str">
        <f t="shared" si="18"/>
        <v/>
      </c>
    </row>
    <row r="649" spans="1:6" ht="14.1" customHeight="1">
      <c r="A649" s="14">
        <f t="shared" si="19"/>
        <v>645</v>
      </c>
      <c r="B649" s="18"/>
      <c r="C649" s="16" t="s">
        <v>1679</v>
      </c>
      <c r="D649" s="19"/>
      <c r="E649" s="19"/>
      <c r="F649" s="203" t="str">
        <f t="shared" si="18"/>
        <v/>
      </c>
    </row>
    <row r="650" spans="1:6" ht="14.1" customHeight="1">
      <c r="A650" s="14">
        <f t="shared" si="19"/>
        <v>646</v>
      </c>
      <c r="B650" s="18"/>
      <c r="C650" s="16" t="s">
        <v>1679</v>
      </c>
      <c r="D650" s="19"/>
      <c r="E650" s="19"/>
      <c r="F650" s="203" t="str">
        <f t="shared" si="18"/>
        <v/>
      </c>
    </row>
    <row r="651" spans="1:6" ht="14.1" customHeight="1">
      <c r="A651" s="14">
        <f t="shared" si="19"/>
        <v>647</v>
      </c>
      <c r="B651" s="18"/>
      <c r="C651" s="16" t="s">
        <v>1679</v>
      </c>
      <c r="D651" s="19"/>
      <c r="E651" s="19"/>
      <c r="F651" s="203" t="str">
        <f t="shared" si="18"/>
        <v/>
      </c>
    </row>
    <row r="652" spans="1:6" ht="14.1" customHeight="1">
      <c r="A652" s="14">
        <f t="shared" si="19"/>
        <v>648</v>
      </c>
      <c r="B652" s="18"/>
      <c r="C652" s="16" t="s">
        <v>1679</v>
      </c>
      <c r="D652" s="19"/>
      <c r="E652" s="19"/>
      <c r="F652" s="203" t="str">
        <f t="shared" si="18"/>
        <v/>
      </c>
    </row>
    <row r="653" spans="1:6" ht="14.1" customHeight="1">
      <c r="A653" s="14">
        <f t="shared" si="19"/>
        <v>649</v>
      </c>
      <c r="B653" s="18"/>
      <c r="C653" s="16" t="s">
        <v>1679</v>
      </c>
      <c r="D653" s="19"/>
      <c r="E653" s="19"/>
      <c r="F653" s="203" t="str">
        <f t="shared" si="18"/>
        <v/>
      </c>
    </row>
    <row r="654" spans="1:6" ht="14.1" customHeight="1">
      <c r="A654" s="14">
        <f t="shared" si="19"/>
        <v>650</v>
      </c>
      <c r="B654" s="18"/>
      <c r="C654" s="16" t="s">
        <v>1679</v>
      </c>
      <c r="D654" s="19"/>
      <c r="E654" s="19"/>
      <c r="F654" s="203" t="str">
        <f t="shared" si="18"/>
        <v/>
      </c>
    </row>
    <row r="655" spans="1:6" ht="14.1" customHeight="1">
      <c r="A655" s="14">
        <f t="shared" si="19"/>
        <v>651</v>
      </c>
      <c r="B655" s="18"/>
      <c r="C655" s="16" t="s">
        <v>1679</v>
      </c>
      <c r="D655" s="19"/>
      <c r="E655" s="19"/>
      <c r="F655" s="203" t="str">
        <f t="shared" si="18"/>
        <v/>
      </c>
    </row>
    <row r="656" spans="1:6" ht="14.1" customHeight="1">
      <c r="A656" s="14">
        <f t="shared" si="19"/>
        <v>652</v>
      </c>
      <c r="B656" s="18"/>
      <c r="C656" s="16" t="s">
        <v>1679</v>
      </c>
      <c r="D656" s="19"/>
      <c r="E656" s="19"/>
      <c r="F656" s="203" t="str">
        <f t="shared" si="18"/>
        <v/>
      </c>
    </row>
    <row r="657" spans="1:6" ht="14.1" customHeight="1">
      <c r="A657" s="14">
        <f t="shared" si="19"/>
        <v>653</v>
      </c>
      <c r="B657" s="18"/>
      <c r="C657" s="16" t="s">
        <v>1679</v>
      </c>
      <c r="D657" s="19"/>
      <c r="E657" s="19"/>
      <c r="F657" s="203" t="str">
        <f t="shared" si="18"/>
        <v/>
      </c>
    </row>
    <row r="658" spans="1:6" ht="14.1" customHeight="1">
      <c r="A658" s="14">
        <f t="shared" si="19"/>
        <v>654</v>
      </c>
      <c r="B658" s="18"/>
      <c r="C658" s="16" t="s">
        <v>1679</v>
      </c>
      <c r="D658" s="19"/>
      <c r="E658" s="19"/>
      <c r="F658" s="203" t="str">
        <f t="shared" si="18"/>
        <v/>
      </c>
    </row>
    <row r="659" spans="1:6" ht="14.1" customHeight="1">
      <c r="A659" s="14">
        <f t="shared" si="19"/>
        <v>655</v>
      </c>
      <c r="B659" s="18"/>
      <c r="C659" s="16" t="s">
        <v>1679</v>
      </c>
      <c r="D659" s="19"/>
      <c r="E659" s="19"/>
      <c r="F659" s="203" t="str">
        <f t="shared" si="18"/>
        <v/>
      </c>
    </row>
    <row r="660" spans="1:6" ht="14.1" customHeight="1">
      <c r="A660" s="14">
        <f t="shared" si="19"/>
        <v>656</v>
      </c>
      <c r="B660" s="18"/>
      <c r="C660" s="16" t="s">
        <v>1679</v>
      </c>
      <c r="D660" s="19"/>
      <c r="E660" s="19"/>
      <c r="F660" s="203" t="str">
        <f t="shared" si="18"/>
        <v/>
      </c>
    </row>
    <row r="661" spans="1:6" ht="14.1" customHeight="1">
      <c r="A661" s="14">
        <f t="shared" si="19"/>
        <v>657</v>
      </c>
      <c r="B661" s="18"/>
      <c r="C661" s="16" t="s">
        <v>1679</v>
      </c>
      <c r="D661" s="19"/>
      <c r="E661" s="19"/>
      <c r="F661" s="203" t="str">
        <f t="shared" si="18"/>
        <v/>
      </c>
    </row>
    <row r="662" spans="1:6" ht="14.1" customHeight="1">
      <c r="A662" s="14">
        <f t="shared" si="19"/>
        <v>658</v>
      </c>
      <c r="B662" s="18"/>
      <c r="C662" s="16" t="s">
        <v>1679</v>
      </c>
      <c r="D662" s="19"/>
      <c r="E662" s="19"/>
      <c r="F662" s="203" t="str">
        <f t="shared" si="18"/>
        <v/>
      </c>
    </row>
    <row r="663" spans="1:6" ht="14.1" customHeight="1">
      <c r="A663" s="14">
        <f t="shared" si="19"/>
        <v>659</v>
      </c>
      <c r="B663" s="18"/>
      <c r="C663" s="16" t="s">
        <v>1679</v>
      </c>
      <c r="D663" s="19"/>
      <c r="E663" s="19"/>
      <c r="F663" s="203" t="str">
        <f t="shared" si="18"/>
        <v/>
      </c>
    </row>
    <row r="664" spans="1:6" ht="14.1" customHeight="1">
      <c r="A664" s="14">
        <f t="shared" si="19"/>
        <v>660</v>
      </c>
      <c r="B664" s="18"/>
      <c r="C664" s="16" t="s">
        <v>1679</v>
      </c>
      <c r="D664" s="19"/>
      <c r="E664" s="19"/>
      <c r="F664" s="203" t="str">
        <f t="shared" si="18"/>
        <v/>
      </c>
    </row>
    <row r="665" spans="1:6" ht="14.1" customHeight="1">
      <c r="A665" s="14">
        <f t="shared" si="19"/>
        <v>661</v>
      </c>
      <c r="B665" s="18"/>
      <c r="C665" s="16" t="s">
        <v>1679</v>
      </c>
      <c r="D665" s="19"/>
      <c r="E665" s="19"/>
      <c r="F665" s="203" t="str">
        <f t="shared" si="18"/>
        <v/>
      </c>
    </row>
    <row r="666" spans="1:6" ht="14.1" customHeight="1">
      <c r="A666" s="14">
        <f t="shared" si="19"/>
        <v>662</v>
      </c>
      <c r="B666" s="18"/>
      <c r="C666" s="16" t="s">
        <v>1679</v>
      </c>
      <c r="D666" s="19"/>
      <c r="E666" s="19"/>
      <c r="F666" s="203" t="str">
        <f t="shared" si="18"/>
        <v/>
      </c>
    </row>
    <row r="667" spans="1:6" ht="14.1" customHeight="1">
      <c r="A667" s="14">
        <f t="shared" si="19"/>
        <v>663</v>
      </c>
      <c r="B667" s="18"/>
      <c r="C667" s="16" t="s">
        <v>1679</v>
      </c>
      <c r="D667" s="19"/>
      <c r="E667" s="19"/>
      <c r="F667" s="203" t="str">
        <f t="shared" si="18"/>
        <v/>
      </c>
    </row>
    <row r="668" spans="1:6" ht="14.1" customHeight="1">
      <c r="A668" s="14">
        <f t="shared" si="19"/>
        <v>664</v>
      </c>
      <c r="B668" s="18"/>
      <c r="C668" s="16" t="s">
        <v>1679</v>
      </c>
      <c r="D668" s="19"/>
      <c r="E668" s="19"/>
      <c r="F668" s="203" t="str">
        <f t="shared" si="18"/>
        <v/>
      </c>
    </row>
    <row r="669" spans="1:6" ht="14.1" customHeight="1">
      <c r="A669" s="14">
        <f t="shared" si="19"/>
        <v>665</v>
      </c>
      <c r="B669" s="18"/>
      <c r="C669" s="16" t="s">
        <v>1679</v>
      </c>
      <c r="D669" s="19"/>
      <c r="E669" s="19"/>
      <c r="F669" s="203" t="str">
        <f t="shared" si="18"/>
        <v/>
      </c>
    </row>
    <row r="670" spans="1:6" ht="14.1" customHeight="1">
      <c r="A670" s="14">
        <f t="shared" si="19"/>
        <v>666</v>
      </c>
      <c r="B670" s="18"/>
      <c r="C670" s="16" t="s">
        <v>1679</v>
      </c>
      <c r="D670" s="19"/>
      <c r="E670" s="19"/>
      <c r="F670" s="203" t="str">
        <f t="shared" si="18"/>
        <v/>
      </c>
    </row>
    <row r="671" spans="1:6" ht="14.1" customHeight="1">
      <c r="A671" s="14">
        <f t="shared" si="19"/>
        <v>667</v>
      </c>
      <c r="B671" s="18"/>
      <c r="C671" s="16" t="s">
        <v>1679</v>
      </c>
      <c r="D671" s="19"/>
      <c r="E671" s="19"/>
      <c r="F671" s="203" t="str">
        <f t="shared" si="18"/>
        <v/>
      </c>
    </row>
    <row r="672" spans="1:6" ht="14.1" customHeight="1">
      <c r="A672" s="14">
        <f t="shared" si="19"/>
        <v>668</v>
      </c>
      <c r="B672" s="18"/>
      <c r="C672" s="16" t="s">
        <v>1679</v>
      </c>
      <c r="D672" s="19"/>
      <c r="E672" s="19"/>
      <c r="F672" s="203" t="str">
        <f t="shared" si="18"/>
        <v/>
      </c>
    </row>
    <row r="673" spans="1:6" ht="14.1" customHeight="1">
      <c r="A673" s="14">
        <f t="shared" si="19"/>
        <v>669</v>
      </c>
      <c r="B673" s="18"/>
      <c r="C673" s="16" t="s">
        <v>1679</v>
      </c>
      <c r="D673" s="19"/>
      <c r="E673" s="19"/>
      <c r="F673" s="203" t="str">
        <f t="shared" si="18"/>
        <v/>
      </c>
    </row>
    <row r="674" spans="1:6" ht="14.1" customHeight="1">
      <c r="A674" s="14">
        <f t="shared" si="19"/>
        <v>670</v>
      </c>
      <c r="B674" s="18"/>
      <c r="C674" s="16" t="s">
        <v>1679</v>
      </c>
      <c r="D674" s="19"/>
      <c r="E674" s="19"/>
      <c r="F674" s="203" t="str">
        <f t="shared" si="18"/>
        <v/>
      </c>
    </row>
    <row r="675" spans="1:6" ht="14.1" customHeight="1">
      <c r="A675" s="14">
        <f t="shared" si="19"/>
        <v>671</v>
      </c>
      <c r="B675" s="18"/>
      <c r="C675" s="16" t="s">
        <v>1679</v>
      </c>
      <c r="D675" s="19"/>
      <c r="E675" s="19"/>
      <c r="F675" s="203" t="str">
        <f t="shared" si="18"/>
        <v/>
      </c>
    </row>
    <row r="676" spans="1:6" ht="14.1" customHeight="1">
      <c r="A676" s="14">
        <f t="shared" si="19"/>
        <v>672</v>
      </c>
      <c r="B676" s="18"/>
      <c r="C676" s="16" t="s">
        <v>1679</v>
      </c>
      <c r="D676" s="19"/>
      <c r="E676" s="19"/>
      <c r="F676" s="203" t="str">
        <f t="shared" si="18"/>
        <v/>
      </c>
    </row>
    <row r="677" spans="1:6" ht="14.1" customHeight="1">
      <c r="A677" s="14">
        <f t="shared" si="19"/>
        <v>673</v>
      </c>
      <c r="B677" s="18"/>
      <c r="C677" s="16" t="s">
        <v>1679</v>
      </c>
      <c r="D677" s="19"/>
      <c r="E677" s="19"/>
      <c r="F677" s="203" t="str">
        <f t="shared" si="18"/>
        <v/>
      </c>
    </row>
    <row r="678" spans="1:6" ht="14.1" customHeight="1">
      <c r="A678" s="14">
        <f t="shared" si="19"/>
        <v>674</v>
      </c>
      <c r="B678" s="18"/>
      <c r="C678" s="16" t="s">
        <v>1679</v>
      </c>
      <c r="D678" s="19"/>
      <c r="E678" s="19"/>
      <c r="F678" s="203" t="str">
        <f t="shared" si="18"/>
        <v/>
      </c>
    </row>
    <row r="679" spans="1:6" ht="14.1" customHeight="1">
      <c r="A679" s="14">
        <f t="shared" si="19"/>
        <v>675</v>
      </c>
      <c r="B679" s="18"/>
      <c r="C679" s="16" t="s">
        <v>1679</v>
      </c>
      <c r="D679" s="19"/>
      <c r="E679" s="19"/>
      <c r="F679" s="203" t="str">
        <f t="shared" si="18"/>
        <v/>
      </c>
    </row>
    <row r="680" spans="1:6" ht="14.1" customHeight="1">
      <c r="A680" s="14">
        <f t="shared" si="19"/>
        <v>676</v>
      </c>
      <c r="B680" s="18"/>
      <c r="C680" s="16" t="s">
        <v>1679</v>
      </c>
      <c r="D680" s="19"/>
      <c r="E680" s="19"/>
      <c r="F680" s="203" t="str">
        <f t="shared" si="18"/>
        <v/>
      </c>
    </row>
    <row r="681" spans="1:6" ht="14.1" customHeight="1">
      <c r="A681" s="14">
        <f t="shared" si="19"/>
        <v>677</v>
      </c>
      <c r="B681" s="18"/>
      <c r="C681" s="16" t="s">
        <v>1679</v>
      </c>
      <c r="D681" s="19"/>
      <c r="E681" s="19"/>
      <c r="F681" s="203" t="str">
        <f t="shared" si="18"/>
        <v/>
      </c>
    </row>
    <row r="682" spans="1:6" ht="14.1" customHeight="1">
      <c r="A682" s="14">
        <f t="shared" si="19"/>
        <v>678</v>
      </c>
      <c r="B682" s="18"/>
      <c r="C682" s="16" t="s">
        <v>1679</v>
      </c>
      <c r="D682" s="19"/>
      <c r="E682" s="19"/>
      <c r="F682" s="203" t="str">
        <f t="shared" ref="F682:F745" si="20">IF(AND(B683&lt;&gt;"",B682=""),"Don't skip lines",IF(AND(D682="",B682&lt;&gt;""),"Enter U-value",IF(AND(D682&lt;&gt;"",B682=""),"Enter Description","")))</f>
        <v/>
      </c>
    </row>
    <row r="683" spans="1:6" ht="14.1" customHeight="1">
      <c r="A683" s="14">
        <f t="shared" si="19"/>
        <v>679</v>
      </c>
      <c r="B683" s="18"/>
      <c r="C683" s="16" t="s">
        <v>1679</v>
      </c>
      <c r="D683" s="19"/>
      <c r="E683" s="19"/>
      <c r="F683" s="203" t="str">
        <f t="shared" si="20"/>
        <v/>
      </c>
    </row>
    <row r="684" spans="1:6" ht="14.1" customHeight="1">
      <c r="A684" s="14">
        <f t="shared" si="19"/>
        <v>680</v>
      </c>
      <c r="B684" s="18"/>
      <c r="C684" s="16" t="s">
        <v>1679</v>
      </c>
      <c r="D684" s="19"/>
      <c r="E684" s="19"/>
      <c r="F684" s="203" t="str">
        <f t="shared" si="20"/>
        <v/>
      </c>
    </row>
    <row r="685" spans="1:6" ht="14.1" customHeight="1">
      <c r="A685" s="14">
        <f t="shared" si="19"/>
        <v>681</v>
      </c>
      <c r="B685" s="18"/>
      <c r="C685" s="16" t="s">
        <v>1679</v>
      </c>
      <c r="D685" s="19"/>
      <c r="E685" s="19"/>
      <c r="F685" s="203" t="str">
        <f t="shared" si="20"/>
        <v/>
      </c>
    </row>
    <row r="686" spans="1:6" ht="14.1" customHeight="1">
      <c r="A686" s="14">
        <f t="shared" si="19"/>
        <v>682</v>
      </c>
      <c r="B686" s="18"/>
      <c r="C686" s="16" t="s">
        <v>1679</v>
      </c>
      <c r="D686" s="19"/>
      <c r="E686" s="19"/>
      <c r="F686" s="203" t="str">
        <f t="shared" si="20"/>
        <v/>
      </c>
    </row>
    <row r="687" spans="1:6" ht="14.1" customHeight="1">
      <c r="A687" s="14">
        <f t="shared" si="19"/>
        <v>683</v>
      </c>
      <c r="B687" s="18"/>
      <c r="C687" s="16" t="s">
        <v>1679</v>
      </c>
      <c r="D687" s="19"/>
      <c r="E687" s="19"/>
      <c r="F687" s="203" t="str">
        <f t="shared" si="20"/>
        <v/>
      </c>
    </row>
    <row r="688" spans="1:6" ht="14.1" customHeight="1">
      <c r="A688" s="14">
        <f t="shared" si="19"/>
        <v>684</v>
      </c>
      <c r="B688" s="18"/>
      <c r="C688" s="16" t="s">
        <v>1679</v>
      </c>
      <c r="D688" s="19"/>
      <c r="E688" s="19"/>
      <c r="F688" s="203" t="str">
        <f t="shared" si="20"/>
        <v/>
      </c>
    </row>
    <row r="689" spans="1:6" ht="14.1" customHeight="1">
      <c r="A689" s="14">
        <f t="shared" si="19"/>
        <v>685</v>
      </c>
      <c r="B689" s="18"/>
      <c r="C689" s="16" t="s">
        <v>1679</v>
      </c>
      <c r="D689" s="19"/>
      <c r="E689" s="19"/>
      <c r="F689" s="203" t="str">
        <f t="shared" si="20"/>
        <v/>
      </c>
    </row>
    <row r="690" spans="1:6" ht="14.1" customHeight="1">
      <c r="A690" s="14">
        <f t="shared" si="19"/>
        <v>686</v>
      </c>
      <c r="B690" s="18"/>
      <c r="C690" s="16" t="s">
        <v>1679</v>
      </c>
      <c r="D690" s="19"/>
      <c r="E690" s="19"/>
      <c r="F690" s="203" t="str">
        <f t="shared" si="20"/>
        <v/>
      </c>
    </row>
    <row r="691" spans="1:6" ht="14.1" customHeight="1">
      <c r="A691" s="14">
        <f t="shared" si="19"/>
        <v>687</v>
      </c>
      <c r="B691" s="18"/>
      <c r="C691" s="16" t="s">
        <v>1679</v>
      </c>
      <c r="D691" s="19"/>
      <c r="E691" s="19"/>
      <c r="F691" s="203" t="str">
        <f t="shared" si="20"/>
        <v/>
      </c>
    </row>
    <row r="692" spans="1:6" ht="14.1" customHeight="1">
      <c r="A692" s="14">
        <f t="shared" si="19"/>
        <v>688</v>
      </c>
      <c r="B692" s="18"/>
      <c r="C692" s="16" t="s">
        <v>1679</v>
      </c>
      <c r="D692" s="19"/>
      <c r="E692" s="19"/>
      <c r="F692" s="203" t="str">
        <f t="shared" si="20"/>
        <v/>
      </c>
    </row>
    <row r="693" spans="1:6" ht="14.1" customHeight="1">
      <c r="A693" s="14">
        <f t="shared" si="19"/>
        <v>689</v>
      </c>
      <c r="B693" s="18"/>
      <c r="C693" s="16" t="s">
        <v>1679</v>
      </c>
      <c r="D693" s="19"/>
      <c r="E693" s="19"/>
      <c r="F693" s="203" t="str">
        <f t="shared" si="20"/>
        <v/>
      </c>
    </row>
    <row r="694" spans="1:6" ht="14.1" customHeight="1">
      <c r="A694" s="14">
        <f t="shared" si="19"/>
        <v>690</v>
      </c>
      <c r="B694" s="18"/>
      <c r="C694" s="16" t="s">
        <v>1679</v>
      </c>
      <c r="D694" s="19"/>
      <c r="E694" s="19"/>
      <c r="F694" s="203" t="str">
        <f t="shared" si="20"/>
        <v/>
      </c>
    </row>
    <row r="695" spans="1:6" ht="14.1" customHeight="1">
      <c r="A695" s="14">
        <f t="shared" si="19"/>
        <v>691</v>
      </c>
      <c r="B695" s="18"/>
      <c r="C695" s="16" t="s">
        <v>1679</v>
      </c>
      <c r="D695" s="19"/>
      <c r="E695" s="19"/>
      <c r="F695" s="203" t="str">
        <f t="shared" si="20"/>
        <v/>
      </c>
    </row>
    <row r="696" spans="1:6" ht="14.1" customHeight="1">
      <c r="A696" s="14">
        <f t="shared" si="19"/>
        <v>692</v>
      </c>
      <c r="B696" s="18"/>
      <c r="C696" s="16" t="s">
        <v>1679</v>
      </c>
      <c r="D696" s="19"/>
      <c r="E696" s="19"/>
      <c r="F696" s="203" t="str">
        <f t="shared" si="20"/>
        <v/>
      </c>
    </row>
    <row r="697" spans="1:6" ht="14.1" customHeight="1">
      <c r="A697" s="14">
        <f t="shared" si="19"/>
        <v>693</v>
      </c>
      <c r="B697" s="18"/>
      <c r="C697" s="16" t="s">
        <v>1679</v>
      </c>
      <c r="D697" s="19"/>
      <c r="E697" s="19"/>
      <c r="F697" s="203" t="str">
        <f t="shared" si="20"/>
        <v/>
      </c>
    </row>
    <row r="698" spans="1:6" ht="14.1" customHeight="1">
      <c r="A698" s="14">
        <f t="shared" si="19"/>
        <v>694</v>
      </c>
      <c r="B698" s="18"/>
      <c r="C698" s="16" t="s">
        <v>1679</v>
      </c>
      <c r="D698" s="19"/>
      <c r="E698" s="19"/>
      <c r="F698" s="203" t="str">
        <f t="shared" si="20"/>
        <v/>
      </c>
    </row>
    <row r="699" spans="1:6" ht="14.1" customHeight="1">
      <c r="A699" s="14">
        <f t="shared" si="19"/>
        <v>695</v>
      </c>
      <c r="B699" s="18"/>
      <c r="C699" s="16" t="s">
        <v>1679</v>
      </c>
      <c r="D699" s="19"/>
      <c r="E699" s="19"/>
      <c r="F699" s="203" t="str">
        <f t="shared" si="20"/>
        <v/>
      </c>
    </row>
    <row r="700" spans="1:6" ht="14.1" customHeight="1">
      <c r="A700" s="14">
        <f t="shared" si="19"/>
        <v>696</v>
      </c>
      <c r="B700" s="18"/>
      <c r="C700" s="16" t="s">
        <v>1679</v>
      </c>
      <c r="D700" s="19"/>
      <c r="E700" s="19"/>
      <c r="F700" s="203" t="str">
        <f t="shared" si="20"/>
        <v/>
      </c>
    </row>
    <row r="701" spans="1:6" ht="14.1" customHeight="1">
      <c r="A701" s="14">
        <f t="shared" si="19"/>
        <v>697</v>
      </c>
      <c r="B701" s="18"/>
      <c r="C701" s="16" t="s">
        <v>1679</v>
      </c>
      <c r="D701" s="19"/>
      <c r="E701" s="19"/>
      <c r="F701" s="203" t="str">
        <f t="shared" si="20"/>
        <v/>
      </c>
    </row>
    <row r="702" spans="1:6" ht="14.1" customHeight="1">
      <c r="A702" s="14">
        <f t="shared" si="19"/>
        <v>698</v>
      </c>
      <c r="B702" s="18"/>
      <c r="C702" s="16" t="s">
        <v>1679</v>
      </c>
      <c r="D702" s="19"/>
      <c r="E702" s="19"/>
      <c r="F702" s="203" t="str">
        <f t="shared" si="20"/>
        <v/>
      </c>
    </row>
    <row r="703" spans="1:6" ht="14.1" customHeight="1">
      <c r="A703" s="14">
        <f t="shared" si="19"/>
        <v>699</v>
      </c>
      <c r="B703" s="18"/>
      <c r="C703" s="16" t="s">
        <v>1679</v>
      </c>
      <c r="D703" s="19"/>
      <c r="E703" s="19"/>
      <c r="F703" s="203" t="str">
        <f t="shared" si="20"/>
        <v/>
      </c>
    </row>
    <row r="704" spans="1:6" ht="14.1" customHeight="1">
      <c r="A704" s="14">
        <f t="shared" si="19"/>
        <v>700</v>
      </c>
      <c r="B704" s="18"/>
      <c r="C704" s="16" t="s">
        <v>1679</v>
      </c>
      <c r="D704" s="19"/>
      <c r="E704" s="19"/>
      <c r="F704" s="203" t="str">
        <f t="shared" si="20"/>
        <v/>
      </c>
    </row>
    <row r="705" spans="1:6" ht="14.1" customHeight="1">
      <c r="A705" s="14">
        <f t="shared" si="19"/>
        <v>701</v>
      </c>
      <c r="B705" s="18"/>
      <c r="C705" s="16" t="s">
        <v>1679</v>
      </c>
      <c r="D705" s="19"/>
      <c r="E705" s="19"/>
      <c r="F705" s="203" t="str">
        <f t="shared" si="20"/>
        <v/>
      </c>
    </row>
    <row r="706" spans="1:6" ht="14.1" customHeight="1">
      <c r="A706" s="14">
        <f t="shared" si="19"/>
        <v>702</v>
      </c>
      <c r="B706" s="18"/>
      <c r="C706" s="16" t="s">
        <v>1679</v>
      </c>
      <c r="D706" s="19"/>
      <c r="E706" s="19"/>
      <c r="F706" s="203" t="str">
        <f t="shared" si="20"/>
        <v/>
      </c>
    </row>
    <row r="707" spans="1:6" ht="14.1" customHeight="1">
      <c r="A707" s="14">
        <f t="shared" ref="A707:A770" si="21">A706+1</f>
        <v>703</v>
      </c>
      <c r="B707" s="18"/>
      <c r="C707" s="16" t="s">
        <v>1679</v>
      </c>
      <c r="D707" s="19"/>
      <c r="E707" s="19"/>
      <c r="F707" s="203" t="str">
        <f t="shared" si="20"/>
        <v/>
      </c>
    </row>
    <row r="708" spans="1:6" ht="14.1" customHeight="1">
      <c r="A708" s="14">
        <f t="shared" si="21"/>
        <v>704</v>
      </c>
      <c r="B708" s="18"/>
      <c r="C708" s="16" t="s">
        <v>1679</v>
      </c>
      <c r="D708" s="19"/>
      <c r="E708" s="19"/>
      <c r="F708" s="203" t="str">
        <f t="shared" si="20"/>
        <v/>
      </c>
    </row>
    <row r="709" spans="1:6" ht="14.1" customHeight="1">
      <c r="A709" s="14">
        <f t="shared" si="21"/>
        <v>705</v>
      </c>
      <c r="B709" s="18"/>
      <c r="C709" s="16" t="s">
        <v>1679</v>
      </c>
      <c r="D709" s="19"/>
      <c r="E709" s="19"/>
      <c r="F709" s="203" t="str">
        <f t="shared" si="20"/>
        <v/>
      </c>
    </row>
    <row r="710" spans="1:6" ht="14.1" customHeight="1">
      <c r="A710" s="14">
        <f t="shared" si="21"/>
        <v>706</v>
      </c>
      <c r="B710" s="18"/>
      <c r="C710" s="16" t="s">
        <v>1679</v>
      </c>
      <c r="D710" s="19"/>
      <c r="E710" s="19"/>
      <c r="F710" s="203" t="str">
        <f t="shared" si="20"/>
        <v/>
      </c>
    </row>
    <row r="711" spans="1:6" ht="14.1" customHeight="1">
      <c r="A711" s="14">
        <f t="shared" si="21"/>
        <v>707</v>
      </c>
      <c r="B711" s="18"/>
      <c r="C711" s="16" t="s">
        <v>1679</v>
      </c>
      <c r="D711" s="19"/>
      <c r="E711" s="19"/>
      <c r="F711" s="203" t="str">
        <f t="shared" si="20"/>
        <v/>
      </c>
    </row>
    <row r="712" spans="1:6" ht="14.1" customHeight="1">
      <c r="A712" s="14">
        <f t="shared" si="21"/>
        <v>708</v>
      </c>
      <c r="B712" s="18"/>
      <c r="C712" s="16" t="s">
        <v>1679</v>
      </c>
      <c r="D712" s="19"/>
      <c r="E712" s="19"/>
      <c r="F712" s="203" t="str">
        <f t="shared" si="20"/>
        <v/>
      </c>
    </row>
    <row r="713" spans="1:6" ht="14.1" customHeight="1">
      <c r="A713" s="14">
        <f t="shared" si="21"/>
        <v>709</v>
      </c>
      <c r="B713" s="18"/>
      <c r="C713" s="16" t="s">
        <v>1679</v>
      </c>
      <c r="D713" s="19"/>
      <c r="E713" s="19"/>
      <c r="F713" s="203" t="str">
        <f t="shared" si="20"/>
        <v/>
      </c>
    </row>
    <row r="714" spans="1:6" ht="14.1" customHeight="1">
      <c r="A714" s="14">
        <f t="shared" si="21"/>
        <v>710</v>
      </c>
      <c r="B714" s="18"/>
      <c r="C714" s="16" t="s">
        <v>1679</v>
      </c>
      <c r="D714" s="19"/>
      <c r="E714" s="19"/>
      <c r="F714" s="203" t="str">
        <f t="shared" si="20"/>
        <v/>
      </c>
    </row>
    <row r="715" spans="1:6" ht="14.1" customHeight="1">
      <c r="A715" s="14">
        <f t="shared" si="21"/>
        <v>711</v>
      </c>
      <c r="B715" s="18"/>
      <c r="C715" s="16" t="s">
        <v>1679</v>
      </c>
      <c r="D715" s="19"/>
      <c r="E715" s="19"/>
      <c r="F715" s="203" t="str">
        <f t="shared" si="20"/>
        <v/>
      </c>
    </row>
    <row r="716" spans="1:6" ht="14.1" customHeight="1">
      <c r="A716" s="14">
        <f t="shared" si="21"/>
        <v>712</v>
      </c>
      <c r="B716" s="18"/>
      <c r="C716" s="16" t="s">
        <v>1679</v>
      </c>
      <c r="D716" s="19"/>
      <c r="E716" s="19"/>
      <c r="F716" s="203" t="str">
        <f t="shared" si="20"/>
        <v/>
      </c>
    </row>
    <row r="717" spans="1:6" ht="14.1" customHeight="1">
      <c r="A717" s="14">
        <f t="shared" si="21"/>
        <v>713</v>
      </c>
      <c r="B717" s="18"/>
      <c r="C717" s="16" t="s">
        <v>1679</v>
      </c>
      <c r="D717" s="19"/>
      <c r="E717" s="19"/>
      <c r="F717" s="203" t="str">
        <f t="shared" si="20"/>
        <v/>
      </c>
    </row>
    <row r="718" spans="1:6" ht="14.1" customHeight="1">
      <c r="A718" s="14">
        <f t="shared" si="21"/>
        <v>714</v>
      </c>
      <c r="B718" s="18"/>
      <c r="C718" s="16" t="s">
        <v>1679</v>
      </c>
      <c r="D718" s="19"/>
      <c r="E718" s="19"/>
      <c r="F718" s="203" t="str">
        <f t="shared" si="20"/>
        <v/>
      </c>
    </row>
    <row r="719" spans="1:6" ht="14.1" customHeight="1">
      <c r="A719" s="14">
        <f t="shared" si="21"/>
        <v>715</v>
      </c>
      <c r="B719" s="18"/>
      <c r="C719" s="16" t="s">
        <v>1679</v>
      </c>
      <c r="D719" s="19"/>
      <c r="E719" s="19"/>
      <c r="F719" s="203" t="str">
        <f t="shared" si="20"/>
        <v/>
      </c>
    </row>
    <row r="720" spans="1:6" ht="14.1" customHeight="1">
      <c r="A720" s="14">
        <f t="shared" si="21"/>
        <v>716</v>
      </c>
      <c r="B720" s="18"/>
      <c r="C720" s="16" t="s">
        <v>1679</v>
      </c>
      <c r="D720" s="19"/>
      <c r="E720" s="19"/>
      <c r="F720" s="203" t="str">
        <f t="shared" si="20"/>
        <v/>
      </c>
    </row>
    <row r="721" spans="1:6" ht="14.1" customHeight="1">
      <c r="A721" s="14">
        <f t="shared" si="21"/>
        <v>717</v>
      </c>
      <c r="B721" s="18"/>
      <c r="C721" s="16" t="s">
        <v>1679</v>
      </c>
      <c r="D721" s="19"/>
      <c r="E721" s="19"/>
      <c r="F721" s="203" t="str">
        <f t="shared" si="20"/>
        <v/>
      </c>
    </row>
    <row r="722" spans="1:6" ht="14.1" customHeight="1">
      <c r="A722" s="14">
        <f t="shared" si="21"/>
        <v>718</v>
      </c>
      <c r="B722" s="18"/>
      <c r="C722" s="16" t="s">
        <v>1679</v>
      </c>
      <c r="D722" s="19"/>
      <c r="E722" s="19"/>
      <c r="F722" s="203" t="str">
        <f t="shared" si="20"/>
        <v/>
      </c>
    </row>
    <row r="723" spans="1:6" ht="14.1" customHeight="1">
      <c r="A723" s="14">
        <f t="shared" si="21"/>
        <v>719</v>
      </c>
      <c r="B723" s="18"/>
      <c r="C723" s="16" t="s">
        <v>1679</v>
      </c>
      <c r="D723" s="19"/>
      <c r="E723" s="19"/>
      <c r="F723" s="203" t="str">
        <f t="shared" si="20"/>
        <v/>
      </c>
    </row>
    <row r="724" spans="1:6" ht="14.1" customHeight="1">
      <c r="A724" s="14">
        <f t="shared" si="21"/>
        <v>720</v>
      </c>
      <c r="B724" s="18"/>
      <c r="C724" s="16" t="s">
        <v>1679</v>
      </c>
      <c r="D724" s="19"/>
      <c r="E724" s="19"/>
      <c r="F724" s="203" t="str">
        <f t="shared" si="20"/>
        <v/>
      </c>
    </row>
    <row r="725" spans="1:6" ht="14.1" customHeight="1">
      <c r="A725" s="14">
        <f t="shared" si="21"/>
        <v>721</v>
      </c>
      <c r="B725" s="18"/>
      <c r="C725" s="16" t="s">
        <v>1679</v>
      </c>
      <c r="D725" s="19"/>
      <c r="E725" s="19"/>
      <c r="F725" s="203" t="str">
        <f t="shared" si="20"/>
        <v/>
      </c>
    </row>
    <row r="726" spans="1:6" ht="14.1" customHeight="1">
      <c r="A726" s="14">
        <f t="shared" si="21"/>
        <v>722</v>
      </c>
      <c r="B726" s="18"/>
      <c r="C726" s="16" t="s">
        <v>1679</v>
      </c>
      <c r="D726" s="19"/>
      <c r="E726" s="19"/>
      <c r="F726" s="203" t="str">
        <f t="shared" si="20"/>
        <v/>
      </c>
    </row>
    <row r="727" spans="1:6" ht="14.1" customHeight="1">
      <c r="A727" s="14">
        <f t="shared" si="21"/>
        <v>723</v>
      </c>
      <c r="B727" s="18"/>
      <c r="C727" s="16" t="s">
        <v>1679</v>
      </c>
      <c r="D727" s="19"/>
      <c r="E727" s="19"/>
      <c r="F727" s="203" t="str">
        <f t="shared" si="20"/>
        <v/>
      </c>
    </row>
    <row r="728" spans="1:6" ht="14.1" customHeight="1">
      <c r="A728" s="14">
        <f t="shared" si="21"/>
        <v>724</v>
      </c>
      <c r="B728" s="18"/>
      <c r="C728" s="16" t="s">
        <v>1679</v>
      </c>
      <c r="D728" s="19"/>
      <c r="E728" s="19"/>
      <c r="F728" s="203" t="str">
        <f t="shared" si="20"/>
        <v/>
      </c>
    </row>
    <row r="729" spans="1:6" ht="14.1" customHeight="1">
      <c r="A729" s="14">
        <f t="shared" si="21"/>
        <v>725</v>
      </c>
      <c r="B729" s="18"/>
      <c r="C729" s="16" t="s">
        <v>1679</v>
      </c>
      <c r="D729" s="19"/>
      <c r="E729" s="19"/>
      <c r="F729" s="203" t="str">
        <f t="shared" si="20"/>
        <v/>
      </c>
    </row>
    <row r="730" spans="1:6" ht="14.1" customHeight="1">
      <c r="A730" s="14">
        <f t="shared" si="21"/>
        <v>726</v>
      </c>
      <c r="B730" s="18"/>
      <c r="C730" s="16" t="s">
        <v>1679</v>
      </c>
      <c r="D730" s="19"/>
      <c r="E730" s="19"/>
      <c r="F730" s="203" t="str">
        <f t="shared" si="20"/>
        <v/>
      </c>
    </row>
    <row r="731" spans="1:6" ht="14.1" customHeight="1">
      <c r="A731" s="14">
        <f t="shared" si="21"/>
        <v>727</v>
      </c>
      <c r="B731" s="18"/>
      <c r="C731" s="16" t="s">
        <v>1679</v>
      </c>
      <c r="D731" s="19"/>
      <c r="E731" s="19"/>
      <c r="F731" s="203" t="str">
        <f t="shared" si="20"/>
        <v/>
      </c>
    </row>
    <row r="732" spans="1:6" ht="14.1" customHeight="1">
      <c r="A732" s="14">
        <f t="shared" si="21"/>
        <v>728</v>
      </c>
      <c r="B732" s="18"/>
      <c r="C732" s="16" t="s">
        <v>1679</v>
      </c>
      <c r="D732" s="19"/>
      <c r="E732" s="19"/>
      <c r="F732" s="203" t="str">
        <f t="shared" si="20"/>
        <v/>
      </c>
    </row>
    <row r="733" spans="1:6" ht="14.1" customHeight="1">
      <c r="A733" s="14">
        <f t="shared" si="21"/>
        <v>729</v>
      </c>
      <c r="B733" s="18"/>
      <c r="C733" s="16" t="s">
        <v>1679</v>
      </c>
      <c r="D733" s="19"/>
      <c r="E733" s="19"/>
      <c r="F733" s="203" t="str">
        <f t="shared" si="20"/>
        <v/>
      </c>
    </row>
    <row r="734" spans="1:6" ht="14.1" customHeight="1">
      <c r="A734" s="14">
        <f t="shared" si="21"/>
        <v>730</v>
      </c>
      <c r="B734" s="18"/>
      <c r="C734" s="16" t="s">
        <v>1679</v>
      </c>
      <c r="D734" s="19"/>
      <c r="E734" s="19"/>
      <c r="F734" s="203" t="str">
        <f t="shared" si="20"/>
        <v/>
      </c>
    </row>
    <row r="735" spans="1:6" ht="14.1" customHeight="1">
      <c r="A735" s="14">
        <f t="shared" si="21"/>
        <v>731</v>
      </c>
      <c r="B735" s="18"/>
      <c r="C735" s="16" t="s">
        <v>1679</v>
      </c>
      <c r="D735" s="19"/>
      <c r="E735" s="19"/>
      <c r="F735" s="203" t="str">
        <f t="shared" si="20"/>
        <v/>
      </c>
    </row>
    <row r="736" spans="1:6" ht="14.1" customHeight="1">
      <c r="A736" s="14">
        <f t="shared" si="21"/>
        <v>732</v>
      </c>
      <c r="B736" s="18"/>
      <c r="C736" s="16" t="s">
        <v>1679</v>
      </c>
      <c r="D736" s="19"/>
      <c r="E736" s="19"/>
      <c r="F736" s="203" t="str">
        <f t="shared" si="20"/>
        <v/>
      </c>
    </row>
    <row r="737" spans="1:6" ht="14.1" customHeight="1">
      <c r="A737" s="14">
        <f t="shared" si="21"/>
        <v>733</v>
      </c>
      <c r="B737" s="18"/>
      <c r="C737" s="16" t="s">
        <v>1679</v>
      </c>
      <c r="D737" s="19"/>
      <c r="E737" s="19"/>
      <c r="F737" s="203" t="str">
        <f t="shared" si="20"/>
        <v/>
      </c>
    </row>
    <row r="738" spans="1:6" ht="14.1" customHeight="1">
      <c r="A738" s="14">
        <f t="shared" si="21"/>
        <v>734</v>
      </c>
      <c r="B738" s="18"/>
      <c r="C738" s="16" t="s">
        <v>1679</v>
      </c>
      <c r="D738" s="19"/>
      <c r="E738" s="19"/>
      <c r="F738" s="203" t="str">
        <f t="shared" si="20"/>
        <v/>
      </c>
    </row>
    <row r="739" spans="1:6" ht="14.1" customHeight="1">
      <c r="A739" s="14">
        <f t="shared" si="21"/>
        <v>735</v>
      </c>
      <c r="B739" s="18"/>
      <c r="C739" s="16" t="s">
        <v>1679</v>
      </c>
      <c r="D739" s="19"/>
      <c r="E739" s="19"/>
      <c r="F739" s="203" t="str">
        <f t="shared" si="20"/>
        <v/>
      </c>
    </row>
    <row r="740" spans="1:6" ht="14.1" customHeight="1">
      <c r="A740" s="14">
        <f t="shared" si="21"/>
        <v>736</v>
      </c>
      <c r="B740" s="18"/>
      <c r="C740" s="16" t="s">
        <v>1679</v>
      </c>
      <c r="D740" s="19"/>
      <c r="E740" s="19"/>
      <c r="F740" s="203" t="str">
        <f t="shared" si="20"/>
        <v/>
      </c>
    </row>
    <row r="741" spans="1:6" ht="14.1" customHeight="1">
      <c r="A741" s="14">
        <f t="shared" si="21"/>
        <v>737</v>
      </c>
      <c r="B741" s="18"/>
      <c r="C741" s="16" t="s">
        <v>1679</v>
      </c>
      <c r="D741" s="19"/>
      <c r="E741" s="19"/>
      <c r="F741" s="203" t="str">
        <f t="shared" si="20"/>
        <v/>
      </c>
    </row>
    <row r="742" spans="1:6" ht="14.1" customHeight="1">
      <c r="A742" s="14">
        <f t="shared" si="21"/>
        <v>738</v>
      </c>
      <c r="B742" s="18"/>
      <c r="C742" s="16" t="s">
        <v>1679</v>
      </c>
      <c r="D742" s="19"/>
      <c r="E742" s="19"/>
      <c r="F742" s="203" t="str">
        <f t="shared" si="20"/>
        <v/>
      </c>
    </row>
    <row r="743" spans="1:6" ht="14.1" customHeight="1">
      <c r="A743" s="14">
        <f t="shared" si="21"/>
        <v>739</v>
      </c>
      <c r="B743" s="18"/>
      <c r="C743" s="16" t="s">
        <v>1679</v>
      </c>
      <c r="D743" s="19"/>
      <c r="E743" s="19"/>
      <c r="F743" s="203" t="str">
        <f t="shared" si="20"/>
        <v/>
      </c>
    </row>
    <row r="744" spans="1:6" ht="14.1" customHeight="1">
      <c r="A744" s="14">
        <f t="shared" si="21"/>
        <v>740</v>
      </c>
      <c r="B744" s="18"/>
      <c r="C744" s="16" t="s">
        <v>1679</v>
      </c>
      <c r="D744" s="19"/>
      <c r="E744" s="19"/>
      <c r="F744" s="203" t="str">
        <f t="shared" si="20"/>
        <v/>
      </c>
    </row>
    <row r="745" spans="1:6" ht="14.1" customHeight="1">
      <c r="A745" s="14">
        <f t="shared" si="21"/>
        <v>741</v>
      </c>
      <c r="B745" s="18"/>
      <c r="C745" s="16" t="s">
        <v>1679</v>
      </c>
      <c r="D745" s="19"/>
      <c r="E745" s="19"/>
      <c r="F745" s="203" t="str">
        <f t="shared" si="20"/>
        <v/>
      </c>
    </row>
    <row r="746" spans="1:6" ht="14.1" customHeight="1">
      <c r="A746" s="14">
        <f t="shared" si="21"/>
        <v>742</v>
      </c>
      <c r="B746" s="18"/>
      <c r="C746" s="16" t="s">
        <v>1679</v>
      </c>
      <c r="D746" s="19"/>
      <c r="E746" s="19"/>
      <c r="F746" s="203" t="str">
        <f t="shared" ref="F746:F809" si="22">IF(AND(B747&lt;&gt;"",B746=""),"Don't skip lines",IF(AND(D746="",B746&lt;&gt;""),"Enter U-value",IF(AND(D746&lt;&gt;"",B746=""),"Enter Description","")))</f>
        <v/>
      </c>
    </row>
    <row r="747" spans="1:6" ht="14.1" customHeight="1">
      <c r="A747" s="14">
        <f t="shared" si="21"/>
        <v>743</v>
      </c>
      <c r="B747" s="18"/>
      <c r="C747" s="16" t="s">
        <v>1679</v>
      </c>
      <c r="D747" s="19"/>
      <c r="E747" s="19"/>
      <c r="F747" s="203" t="str">
        <f t="shared" si="22"/>
        <v/>
      </c>
    </row>
    <row r="748" spans="1:6" ht="14.1" customHeight="1">
      <c r="A748" s="14">
        <f t="shared" si="21"/>
        <v>744</v>
      </c>
      <c r="B748" s="18"/>
      <c r="C748" s="16" t="s">
        <v>1679</v>
      </c>
      <c r="D748" s="19"/>
      <c r="E748" s="19"/>
      <c r="F748" s="203" t="str">
        <f t="shared" si="22"/>
        <v/>
      </c>
    </row>
    <row r="749" spans="1:6" ht="14.1" customHeight="1">
      <c r="A749" s="14">
        <f t="shared" si="21"/>
        <v>745</v>
      </c>
      <c r="B749" s="18"/>
      <c r="C749" s="16" t="s">
        <v>1679</v>
      </c>
      <c r="D749" s="19"/>
      <c r="E749" s="19"/>
      <c r="F749" s="203" t="str">
        <f t="shared" si="22"/>
        <v/>
      </c>
    </row>
    <row r="750" spans="1:6" ht="14.1" customHeight="1">
      <c r="A750" s="14">
        <f t="shared" si="21"/>
        <v>746</v>
      </c>
      <c r="B750" s="18"/>
      <c r="C750" s="16" t="s">
        <v>1679</v>
      </c>
      <c r="D750" s="19"/>
      <c r="E750" s="19"/>
      <c r="F750" s="203" t="str">
        <f t="shared" si="22"/>
        <v/>
      </c>
    </row>
    <row r="751" spans="1:6" ht="14.1" customHeight="1">
      <c r="A751" s="14">
        <f t="shared" si="21"/>
        <v>747</v>
      </c>
      <c r="B751" s="18"/>
      <c r="C751" s="16" t="s">
        <v>1679</v>
      </c>
      <c r="D751" s="19"/>
      <c r="E751" s="19"/>
      <c r="F751" s="203" t="str">
        <f t="shared" si="22"/>
        <v/>
      </c>
    </row>
    <row r="752" spans="1:6" ht="14.1" customHeight="1">
      <c r="A752" s="14">
        <f t="shared" si="21"/>
        <v>748</v>
      </c>
      <c r="B752" s="18"/>
      <c r="C752" s="16" t="s">
        <v>1679</v>
      </c>
      <c r="D752" s="19"/>
      <c r="E752" s="19"/>
      <c r="F752" s="203" t="str">
        <f t="shared" si="22"/>
        <v/>
      </c>
    </row>
    <row r="753" spans="1:6" ht="14.1" customHeight="1">
      <c r="A753" s="14">
        <f t="shared" si="21"/>
        <v>749</v>
      </c>
      <c r="B753" s="18"/>
      <c r="C753" s="16" t="s">
        <v>1679</v>
      </c>
      <c r="D753" s="19"/>
      <c r="E753" s="19"/>
      <c r="F753" s="203" t="str">
        <f t="shared" si="22"/>
        <v/>
      </c>
    </row>
    <row r="754" spans="1:6" ht="14.1" customHeight="1">
      <c r="A754" s="14">
        <f t="shared" si="21"/>
        <v>750</v>
      </c>
      <c r="B754" s="18"/>
      <c r="C754" s="16" t="s">
        <v>1679</v>
      </c>
      <c r="D754" s="19"/>
      <c r="E754" s="19"/>
      <c r="F754" s="203" t="str">
        <f t="shared" si="22"/>
        <v/>
      </c>
    </row>
    <row r="755" spans="1:6" ht="14.1" customHeight="1">
      <c r="A755" s="14">
        <f t="shared" si="21"/>
        <v>751</v>
      </c>
      <c r="B755" s="18"/>
      <c r="C755" s="16" t="s">
        <v>1679</v>
      </c>
      <c r="D755" s="19"/>
      <c r="E755" s="19"/>
      <c r="F755" s="203" t="str">
        <f t="shared" si="22"/>
        <v/>
      </c>
    </row>
    <row r="756" spans="1:6" ht="14.1" customHeight="1">
      <c r="A756" s="14">
        <f t="shared" si="21"/>
        <v>752</v>
      </c>
      <c r="B756" s="18"/>
      <c r="C756" s="16" t="s">
        <v>1679</v>
      </c>
      <c r="D756" s="19"/>
      <c r="E756" s="19"/>
      <c r="F756" s="203" t="str">
        <f t="shared" si="22"/>
        <v/>
      </c>
    </row>
    <row r="757" spans="1:6" ht="14.1" customHeight="1">
      <c r="A757" s="14">
        <f t="shared" si="21"/>
        <v>753</v>
      </c>
      <c r="B757" s="18"/>
      <c r="C757" s="16" t="s">
        <v>1679</v>
      </c>
      <c r="D757" s="19"/>
      <c r="E757" s="19"/>
      <c r="F757" s="203" t="str">
        <f t="shared" si="22"/>
        <v/>
      </c>
    </row>
    <row r="758" spans="1:6" ht="14.1" customHeight="1">
      <c r="A758" s="14">
        <f t="shared" si="21"/>
        <v>754</v>
      </c>
      <c r="B758" s="18"/>
      <c r="C758" s="16" t="s">
        <v>1679</v>
      </c>
      <c r="D758" s="19"/>
      <c r="E758" s="19"/>
      <c r="F758" s="203" t="str">
        <f t="shared" si="22"/>
        <v/>
      </c>
    </row>
    <row r="759" spans="1:6" ht="14.1" customHeight="1">
      <c r="A759" s="14">
        <f t="shared" si="21"/>
        <v>755</v>
      </c>
      <c r="B759" s="18"/>
      <c r="C759" s="16" t="s">
        <v>1679</v>
      </c>
      <c r="D759" s="19"/>
      <c r="E759" s="19"/>
      <c r="F759" s="203" t="str">
        <f t="shared" si="22"/>
        <v/>
      </c>
    </row>
    <row r="760" spans="1:6" ht="14.1" customHeight="1">
      <c r="A760" s="14">
        <f t="shared" si="21"/>
        <v>756</v>
      </c>
      <c r="B760" s="18"/>
      <c r="C760" s="16" t="s">
        <v>1679</v>
      </c>
      <c r="D760" s="19"/>
      <c r="E760" s="19"/>
      <c r="F760" s="203" t="str">
        <f t="shared" si="22"/>
        <v/>
      </c>
    </row>
    <row r="761" spans="1:6" ht="14.1" customHeight="1">
      <c r="A761" s="14">
        <f t="shared" si="21"/>
        <v>757</v>
      </c>
      <c r="B761" s="18"/>
      <c r="C761" s="16" t="s">
        <v>1679</v>
      </c>
      <c r="D761" s="19"/>
      <c r="E761" s="19"/>
      <c r="F761" s="203" t="str">
        <f t="shared" si="22"/>
        <v/>
      </c>
    </row>
    <row r="762" spans="1:6" ht="14.1" customHeight="1">
      <c r="A762" s="14">
        <f t="shared" si="21"/>
        <v>758</v>
      </c>
      <c r="B762" s="18"/>
      <c r="C762" s="16" t="s">
        <v>1679</v>
      </c>
      <c r="D762" s="19"/>
      <c r="E762" s="19"/>
      <c r="F762" s="203" t="str">
        <f t="shared" si="22"/>
        <v/>
      </c>
    </row>
    <row r="763" spans="1:6" ht="14.1" customHeight="1">
      <c r="A763" s="14">
        <f t="shared" si="21"/>
        <v>759</v>
      </c>
      <c r="B763" s="18"/>
      <c r="C763" s="16" t="s">
        <v>1679</v>
      </c>
      <c r="D763" s="19"/>
      <c r="E763" s="19"/>
      <c r="F763" s="203" t="str">
        <f t="shared" si="22"/>
        <v/>
      </c>
    </row>
    <row r="764" spans="1:6" ht="14.1" customHeight="1">
      <c r="A764" s="14">
        <f t="shared" si="21"/>
        <v>760</v>
      </c>
      <c r="B764" s="18"/>
      <c r="C764" s="16" t="s">
        <v>1679</v>
      </c>
      <c r="D764" s="19"/>
      <c r="E764" s="19"/>
      <c r="F764" s="203" t="str">
        <f t="shared" si="22"/>
        <v/>
      </c>
    </row>
    <row r="765" spans="1:6" ht="14.1" customHeight="1">
      <c r="A765" s="14">
        <f t="shared" si="21"/>
        <v>761</v>
      </c>
      <c r="B765" s="18"/>
      <c r="C765" s="16" t="s">
        <v>1679</v>
      </c>
      <c r="D765" s="19"/>
      <c r="E765" s="19"/>
      <c r="F765" s="203" t="str">
        <f t="shared" si="22"/>
        <v/>
      </c>
    </row>
    <row r="766" spans="1:6" ht="14.1" customHeight="1">
      <c r="A766" s="14">
        <f t="shared" si="21"/>
        <v>762</v>
      </c>
      <c r="B766" s="18"/>
      <c r="C766" s="16" t="s">
        <v>1679</v>
      </c>
      <c r="D766" s="19"/>
      <c r="E766" s="19"/>
      <c r="F766" s="203" t="str">
        <f t="shared" si="22"/>
        <v/>
      </c>
    </row>
    <row r="767" spans="1:6" ht="14.1" customHeight="1">
      <c r="A767" s="14">
        <f t="shared" si="21"/>
        <v>763</v>
      </c>
      <c r="B767" s="18"/>
      <c r="C767" s="16" t="s">
        <v>1679</v>
      </c>
      <c r="D767" s="19"/>
      <c r="E767" s="19"/>
      <c r="F767" s="203" t="str">
        <f t="shared" si="22"/>
        <v/>
      </c>
    </row>
    <row r="768" spans="1:6" ht="14.1" customHeight="1">
      <c r="A768" s="14">
        <f t="shared" si="21"/>
        <v>764</v>
      </c>
      <c r="B768" s="18"/>
      <c r="C768" s="16" t="s">
        <v>1679</v>
      </c>
      <c r="D768" s="19"/>
      <c r="E768" s="19"/>
      <c r="F768" s="203" t="str">
        <f t="shared" si="22"/>
        <v/>
      </c>
    </row>
    <row r="769" spans="1:6" ht="14.1" customHeight="1">
      <c r="A769" s="14">
        <f t="shared" si="21"/>
        <v>765</v>
      </c>
      <c r="B769" s="18"/>
      <c r="C769" s="16" t="s">
        <v>1679</v>
      </c>
      <c r="D769" s="19"/>
      <c r="E769" s="19"/>
      <c r="F769" s="203" t="str">
        <f t="shared" si="22"/>
        <v/>
      </c>
    </row>
    <row r="770" spans="1:6" ht="14.1" customHeight="1">
      <c r="A770" s="14">
        <f t="shared" si="21"/>
        <v>766</v>
      </c>
      <c r="B770" s="18"/>
      <c r="C770" s="16" t="s">
        <v>1679</v>
      </c>
      <c r="D770" s="19"/>
      <c r="E770" s="19"/>
      <c r="F770" s="203" t="str">
        <f t="shared" si="22"/>
        <v/>
      </c>
    </row>
    <row r="771" spans="1:6" ht="14.1" customHeight="1">
      <c r="A771" s="14">
        <f t="shared" ref="A771:A834" si="23">A770+1</f>
        <v>767</v>
      </c>
      <c r="B771" s="18"/>
      <c r="C771" s="16" t="s">
        <v>1679</v>
      </c>
      <c r="D771" s="19"/>
      <c r="E771" s="19"/>
      <c r="F771" s="203" t="str">
        <f t="shared" si="22"/>
        <v/>
      </c>
    </row>
    <row r="772" spans="1:6" ht="14.1" customHeight="1">
      <c r="A772" s="14">
        <f t="shared" si="23"/>
        <v>768</v>
      </c>
      <c r="B772" s="18"/>
      <c r="C772" s="16" t="s">
        <v>1679</v>
      </c>
      <c r="D772" s="19"/>
      <c r="E772" s="19"/>
      <c r="F772" s="203" t="str">
        <f t="shared" si="22"/>
        <v/>
      </c>
    </row>
    <row r="773" spans="1:6" ht="14.1" customHeight="1">
      <c r="A773" s="14">
        <f t="shared" si="23"/>
        <v>769</v>
      </c>
      <c r="B773" s="18"/>
      <c r="C773" s="16" t="s">
        <v>1679</v>
      </c>
      <c r="D773" s="19"/>
      <c r="E773" s="19"/>
      <c r="F773" s="203" t="str">
        <f t="shared" si="22"/>
        <v/>
      </c>
    </row>
    <row r="774" spans="1:6" ht="14.1" customHeight="1">
      <c r="A774" s="14">
        <f t="shared" si="23"/>
        <v>770</v>
      </c>
      <c r="B774" s="18"/>
      <c r="C774" s="16" t="s">
        <v>1679</v>
      </c>
      <c r="D774" s="19"/>
      <c r="E774" s="19"/>
      <c r="F774" s="203" t="str">
        <f t="shared" si="22"/>
        <v/>
      </c>
    </row>
    <row r="775" spans="1:6" ht="14.1" customHeight="1">
      <c r="A775" s="14">
        <f t="shared" si="23"/>
        <v>771</v>
      </c>
      <c r="B775" s="18"/>
      <c r="C775" s="16" t="s">
        <v>1679</v>
      </c>
      <c r="D775" s="19"/>
      <c r="E775" s="19"/>
      <c r="F775" s="203" t="str">
        <f t="shared" si="22"/>
        <v/>
      </c>
    </row>
    <row r="776" spans="1:6" ht="14.1" customHeight="1">
      <c r="A776" s="14">
        <f t="shared" si="23"/>
        <v>772</v>
      </c>
      <c r="B776" s="18"/>
      <c r="C776" s="16" t="s">
        <v>1679</v>
      </c>
      <c r="D776" s="19"/>
      <c r="E776" s="19"/>
      <c r="F776" s="203" t="str">
        <f t="shared" si="22"/>
        <v/>
      </c>
    </row>
    <row r="777" spans="1:6" ht="14.1" customHeight="1">
      <c r="A777" s="14">
        <f t="shared" si="23"/>
        <v>773</v>
      </c>
      <c r="B777" s="18"/>
      <c r="C777" s="16" t="s">
        <v>1679</v>
      </c>
      <c r="D777" s="19"/>
      <c r="E777" s="19"/>
      <c r="F777" s="203" t="str">
        <f t="shared" si="22"/>
        <v/>
      </c>
    </row>
    <row r="778" spans="1:6" ht="14.1" customHeight="1">
      <c r="A778" s="14">
        <f t="shared" si="23"/>
        <v>774</v>
      </c>
      <c r="B778" s="18"/>
      <c r="C778" s="16" t="s">
        <v>1679</v>
      </c>
      <c r="D778" s="19"/>
      <c r="E778" s="19"/>
      <c r="F778" s="203" t="str">
        <f t="shared" si="22"/>
        <v/>
      </c>
    </row>
    <row r="779" spans="1:6" ht="14.1" customHeight="1">
      <c r="A779" s="14">
        <f t="shared" si="23"/>
        <v>775</v>
      </c>
      <c r="B779" s="18"/>
      <c r="C779" s="16" t="s">
        <v>1679</v>
      </c>
      <c r="D779" s="19"/>
      <c r="E779" s="19"/>
      <c r="F779" s="203" t="str">
        <f t="shared" si="22"/>
        <v/>
      </c>
    </row>
    <row r="780" spans="1:6" ht="14.1" customHeight="1">
      <c r="A780" s="14">
        <f t="shared" si="23"/>
        <v>776</v>
      </c>
      <c r="B780" s="18"/>
      <c r="C780" s="16" t="s">
        <v>1679</v>
      </c>
      <c r="D780" s="19"/>
      <c r="E780" s="19"/>
      <c r="F780" s="203" t="str">
        <f t="shared" si="22"/>
        <v/>
      </c>
    </row>
    <row r="781" spans="1:6" ht="14.1" customHeight="1">
      <c r="A781" s="14">
        <f t="shared" si="23"/>
        <v>777</v>
      </c>
      <c r="B781" s="18"/>
      <c r="C781" s="16" t="s">
        <v>1679</v>
      </c>
      <c r="D781" s="19"/>
      <c r="E781" s="19"/>
      <c r="F781" s="203" t="str">
        <f t="shared" si="22"/>
        <v/>
      </c>
    </row>
    <row r="782" spans="1:6" ht="14.1" customHeight="1">
      <c r="A782" s="14">
        <f t="shared" si="23"/>
        <v>778</v>
      </c>
      <c r="B782" s="18"/>
      <c r="C782" s="16" t="s">
        <v>1679</v>
      </c>
      <c r="D782" s="19"/>
      <c r="E782" s="19"/>
      <c r="F782" s="203" t="str">
        <f t="shared" si="22"/>
        <v/>
      </c>
    </row>
    <row r="783" spans="1:6" ht="14.1" customHeight="1">
      <c r="A783" s="14">
        <f t="shared" si="23"/>
        <v>779</v>
      </c>
      <c r="B783" s="18"/>
      <c r="C783" s="16" t="s">
        <v>1679</v>
      </c>
      <c r="D783" s="19"/>
      <c r="E783" s="19"/>
      <c r="F783" s="203" t="str">
        <f t="shared" si="22"/>
        <v/>
      </c>
    </row>
    <row r="784" spans="1:6" ht="14.1" customHeight="1">
      <c r="A784" s="14">
        <f t="shared" si="23"/>
        <v>780</v>
      </c>
      <c r="B784" s="18"/>
      <c r="C784" s="16" t="s">
        <v>1679</v>
      </c>
      <c r="D784" s="19"/>
      <c r="E784" s="19"/>
      <c r="F784" s="203" t="str">
        <f t="shared" si="22"/>
        <v/>
      </c>
    </row>
    <row r="785" spans="1:6" ht="14.1" customHeight="1">
      <c r="A785" s="14">
        <f t="shared" si="23"/>
        <v>781</v>
      </c>
      <c r="B785" s="18"/>
      <c r="C785" s="16" t="s">
        <v>1679</v>
      </c>
      <c r="D785" s="19"/>
      <c r="E785" s="19"/>
      <c r="F785" s="203" t="str">
        <f t="shared" si="22"/>
        <v/>
      </c>
    </row>
    <row r="786" spans="1:6" ht="14.1" customHeight="1">
      <c r="A786" s="14">
        <f t="shared" si="23"/>
        <v>782</v>
      </c>
      <c r="B786" s="18"/>
      <c r="C786" s="16" t="s">
        <v>1679</v>
      </c>
      <c r="D786" s="19"/>
      <c r="E786" s="19"/>
      <c r="F786" s="203" t="str">
        <f t="shared" si="22"/>
        <v/>
      </c>
    </row>
    <row r="787" spans="1:6" ht="14.1" customHeight="1">
      <c r="A787" s="14">
        <f t="shared" si="23"/>
        <v>783</v>
      </c>
      <c r="B787" s="18"/>
      <c r="C787" s="16" t="s">
        <v>1679</v>
      </c>
      <c r="D787" s="19"/>
      <c r="E787" s="19"/>
      <c r="F787" s="203" t="str">
        <f t="shared" si="22"/>
        <v/>
      </c>
    </row>
    <row r="788" spans="1:6" ht="14.1" customHeight="1">
      <c r="A788" s="14">
        <f t="shared" si="23"/>
        <v>784</v>
      </c>
      <c r="B788" s="18"/>
      <c r="C788" s="16" t="s">
        <v>1679</v>
      </c>
      <c r="D788" s="19"/>
      <c r="E788" s="19"/>
      <c r="F788" s="203" t="str">
        <f t="shared" si="22"/>
        <v/>
      </c>
    </row>
    <row r="789" spans="1:6" ht="14.1" customHeight="1">
      <c r="A789" s="14">
        <f t="shared" si="23"/>
        <v>785</v>
      </c>
      <c r="B789" s="18"/>
      <c r="C789" s="16" t="s">
        <v>1679</v>
      </c>
      <c r="D789" s="19"/>
      <c r="E789" s="19"/>
      <c r="F789" s="203" t="str">
        <f t="shared" si="22"/>
        <v/>
      </c>
    </row>
    <row r="790" spans="1:6" ht="14.1" customHeight="1">
      <c r="A790" s="14">
        <f t="shared" si="23"/>
        <v>786</v>
      </c>
      <c r="B790" s="18"/>
      <c r="C790" s="16" t="s">
        <v>1679</v>
      </c>
      <c r="D790" s="19"/>
      <c r="E790" s="19"/>
      <c r="F790" s="203" t="str">
        <f t="shared" si="22"/>
        <v/>
      </c>
    </row>
    <row r="791" spans="1:6" ht="14.1" customHeight="1">
      <c r="A791" s="14">
        <f t="shared" si="23"/>
        <v>787</v>
      </c>
      <c r="B791" s="18"/>
      <c r="C791" s="16" t="s">
        <v>1679</v>
      </c>
      <c r="D791" s="19"/>
      <c r="E791" s="19"/>
      <c r="F791" s="203" t="str">
        <f t="shared" si="22"/>
        <v/>
      </c>
    </row>
    <row r="792" spans="1:6" ht="14.1" customHeight="1">
      <c r="A792" s="14">
        <f t="shared" si="23"/>
        <v>788</v>
      </c>
      <c r="B792" s="18"/>
      <c r="C792" s="16" t="s">
        <v>1679</v>
      </c>
      <c r="D792" s="19"/>
      <c r="E792" s="19"/>
      <c r="F792" s="203" t="str">
        <f t="shared" si="22"/>
        <v/>
      </c>
    </row>
    <row r="793" spans="1:6" ht="14.1" customHeight="1">
      <c r="A793" s="14">
        <f t="shared" si="23"/>
        <v>789</v>
      </c>
      <c r="B793" s="18"/>
      <c r="C793" s="16" t="s">
        <v>1679</v>
      </c>
      <c r="D793" s="19"/>
      <c r="E793" s="19"/>
      <c r="F793" s="203" t="str">
        <f t="shared" si="22"/>
        <v/>
      </c>
    </row>
    <row r="794" spans="1:6" ht="14.1" customHeight="1">
      <c r="A794" s="14">
        <f t="shared" si="23"/>
        <v>790</v>
      </c>
      <c r="B794" s="18"/>
      <c r="C794" s="16" t="s">
        <v>1679</v>
      </c>
      <c r="D794" s="19"/>
      <c r="E794" s="19"/>
      <c r="F794" s="203" t="str">
        <f t="shared" si="22"/>
        <v/>
      </c>
    </row>
    <row r="795" spans="1:6" ht="14.1" customHeight="1">
      <c r="A795" s="14">
        <f t="shared" si="23"/>
        <v>791</v>
      </c>
      <c r="B795" s="18"/>
      <c r="C795" s="16" t="s">
        <v>1679</v>
      </c>
      <c r="D795" s="19"/>
      <c r="E795" s="19"/>
      <c r="F795" s="203" t="str">
        <f t="shared" si="22"/>
        <v/>
      </c>
    </row>
    <row r="796" spans="1:6" ht="14.1" customHeight="1">
      <c r="A796" s="14">
        <f t="shared" si="23"/>
        <v>792</v>
      </c>
      <c r="B796" s="18"/>
      <c r="C796" s="16" t="s">
        <v>1679</v>
      </c>
      <c r="D796" s="19"/>
      <c r="E796" s="19"/>
      <c r="F796" s="203" t="str">
        <f t="shared" si="22"/>
        <v/>
      </c>
    </row>
    <row r="797" spans="1:6" ht="14.1" customHeight="1">
      <c r="A797" s="14">
        <f t="shared" si="23"/>
        <v>793</v>
      </c>
      <c r="B797" s="18"/>
      <c r="C797" s="16" t="s">
        <v>1679</v>
      </c>
      <c r="D797" s="19"/>
      <c r="E797" s="19"/>
      <c r="F797" s="203" t="str">
        <f t="shared" si="22"/>
        <v/>
      </c>
    </row>
    <row r="798" spans="1:6" ht="14.1" customHeight="1">
      <c r="A798" s="14">
        <f t="shared" si="23"/>
        <v>794</v>
      </c>
      <c r="B798" s="18"/>
      <c r="C798" s="16" t="s">
        <v>1679</v>
      </c>
      <c r="D798" s="19"/>
      <c r="E798" s="19"/>
      <c r="F798" s="203" t="str">
        <f t="shared" si="22"/>
        <v/>
      </c>
    </row>
    <row r="799" spans="1:6" ht="14.1" customHeight="1">
      <c r="A799" s="14">
        <f t="shared" si="23"/>
        <v>795</v>
      </c>
      <c r="B799" s="18"/>
      <c r="C799" s="16" t="s">
        <v>1679</v>
      </c>
      <c r="D799" s="19"/>
      <c r="E799" s="19"/>
      <c r="F799" s="203" t="str">
        <f t="shared" si="22"/>
        <v/>
      </c>
    </row>
    <row r="800" spans="1:6" ht="14.1" customHeight="1">
      <c r="A800" s="14">
        <f t="shared" si="23"/>
        <v>796</v>
      </c>
      <c r="B800" s="18"/>
      <c r="C800" s="16" t="s">
        <v>1679</v>
      </c>
      <c r="D800" s="19"/>
      <c r="E800" s="19"/>
      <c r="F800" s="203" t="str">
        <f t="shared" si="22"/>
        <v/>
      </c>
    </row>
    <row r="801" spans="1:6" ht="14.1" customHeight="1">
      <c r="A801" s="14">
        <f t="shared" si="23"/>
        <v>797</v>
      </c>
      <c r="B801" s="18"/>
      <c r="C801" s="16" t="s">
        <v>1679</v>
      </c>
      <c r="D801" s="19"/>
      <c r="E801" s="19"/>
      <c r="F801" s="203" t="str">
        <f t="shared" si="22"/>
        <v/>
      </c>
    </row>
    <row r="802" spans="1:6" ht="14.1" customHeight="1">
      <c r="A802" s="14">
        <f t="shared" si="23"/>
        <v>798</v>
      </c>
      <c r="B802" s="18"/>
      <c r="C802" s="16" t="s">
        <v>1679</v>
      </c>
      <c r="D802" s="19"/>
      <c r="E802" s="19"/>
      <c r="F802" s="203" t="str">
        <f t="shared" si="22"/>
        <v/>
      </c>
    </row>
    <row r="803" spans="1:6" ht="14.1" customHeight="1">
      <c r="A803" s="14">
        <f t="shared" si="23"/>
        <v>799</v>
      </c>
      <c r="B803" s="18"/>
      <c r="C803" s="16" t="s">
        <v>1679</v>
      </c>
      <c r="D803" s="19"/>
      <c r="E803" s="19"/>
      <c r="F803" s="203" t="str">
        <f t="shared" si="22"/>
        <v/>
      </c>
    </row>
    <row r="804" spans="1:6" ht="14.1" customHeight="1">
      <c r="A804" s="14">
        <f t="shared" si="23"/>
        <v>800</v>
      </c>
      <c r="B804" s="18"/>
      <c r="C804" s="16" t="s">
        <v>1679</v>
      </c>
      <c r="D804" s="19"/>
      <c r="E804" s="19"/>
      <c r="F804" s="203" t="str">
        <f t="shared" si="22"/>
        <v/>
      </c>
    </row>
    <row r="805" spans="1:6" ht="14.1" customHeight="1">
      <c r="A805" s="14">
        <f t="shared" si="23"/>
        <v>801</v>
      </c>
      <c r="B805" s="18"/>
      <c r="C805" s="16" t="s">
        <v>1679</v>
      </c>
      <c r="D805" s="19"/>
      <c r="E805" s="19"/>
      <c r="F805" s="203" t="str">
        <f t="shared" si="22"/>
        <v/>
      </c>
    </row>
    <row r="806" spans="1:6" ht="14.1" customHeight="1">
      <c r="A806" s="14">
        <f t="shared" si="23"/>
        <v>802</v>
      </c>
      <c r="B806" s="18"/>
      <c r="C806" s="16" t="s">
        <v>1679</v>
      </c>
      <c r="D806" s="19"/>
      <c r="E806" s="19"/>
      <c r="F806" s="203" t="str">
        <f t="shared" si="22"/>
        <v/>
      </c>
    </row>
    <row r="807" spans="1:6" ht="14.1" customHeight="1">
      <c r="A807" s="14">
        <f t="shared" si="23"/>
        <v>803</v>
      </c>
      <c r="B807" s="18"/>
      <c r="C807" s="16" t="s">
        <v>1679</v>
      </c>
      <c r="D807" s="19"/>
      <c r="E807" s="19"/>
      <c r="F807" s="203" t="str">
        <f t="shared" si="22"/>
        <v/>
      </c>
    </row>
    <row r="808" spans="1:6" ht="14.1" customHeight="1">
      <c r="A808" s="14">
        <f t="shared" si="23"/>
        <v>804</v>
      </c>
      <c r="B808" s="18"/>
      <c r="C808" s="16" t="s">
        <v>1679</v>
      </c>
      <c r="D808" s="19"/>
      <c r="E808" s="19"/>
      <c r="F808" s="203" t="str">
        <f t="shared" si="22"/>
        <v/>
      </c>
    </row>
    <row r="809" spans="1:6" ht="14.1" customHeight="1">
      <c r="A809" s="14">
        <f t="shared" si="23"/>
        <v>805</v>
      </c>
      <c r="B809" s="18"/>
      <c r="C809" s="16" t="s">
        <v>1679</v>
      </c>
      <c r="D809" s="19"/>
      <c r="E809" s="19"/>
      <c r="F809" s="203" t="str">
        <f t="shared" si="22"/>
        <v/>
      </c>
    </row>
    <row r="810" spans="1:6" ht="14.1" customHeight="1">
      <c r="A810" s="14">
        <f t="shared" si="23"/>
        <v>806</v>
      </c>
      <c r="B810" s="18"/>
      <c r="C810" s="16" t="s">
        <v>1679</v>
      </c>
      <c r="D810" s="19"/>
      <c r="E810" s="19"/>
      <c r="F810" s="203" t="str">
        <f t="shared" ref="F810:F873" si="24">IF(AND(B811&lt;&gt;"",B810=""),"Don't skip lines",IF(AND(D810="",B810&lt;&gt;""),"Enter U-value",IF(AND(D810&lt;&gt;"",B810=""),"Enter Description","")))</f>
        <v/>
      </c>
    </row>
    <row r="811" spans="1:6" ht="14.1" customHeight="1">
      <c r="A811" s="14">
        <f t="shared" si="23"/>
        <v>807</v>
      </c>
      <c r="B811" s="18"/>
      <c r="C811" s="16" t="s">
        <v>1679</v>
      </c>
      <c r="D811" s="19"/>
      <c r="E811" s="19"/>
      <c r="F811" s="203" t="str">
        <f t="shared" si="24"/>
        <v/>
      </c>
    </row>
    <row r="812" spans="1:6" ht="14.1" customHeight="1">
      <c r="A812" s="14">
        <f t="shared" si="23"/>
        <v>808</v>
      </c>
      <c r="B812" s="18"/>
      <c r="C812" s="16" t="s">
        <v>1679</v>
      </c>
      <c r="D812" s="19"/>
      <c r="E812" s="19"/>
      <c r="F812" s="203" t="str">
        <f t="shared" si="24"/>
        <v/>
      </c>
    </row>
    <row r="813" spans="1:6" ht="14.1" customHeight="1">
      <c r="A813" s="14">
        <f t="shared" si="23"/>
        <v>809</v>
      </c>
      <c r="B813" s="18"/>
      <c r="C813" s="16" t="s">
        <v>1679</v>
      </c>
      <c r="D813" s="19"/>
      <c r="E813" s="19"/>
      <c r="F813" s="203" t="str">
        <f t="shared" si="24"/>
        <v/>
      </c>
    </row>
    <row r="814" spans="1:6" ht="14.1" customHeight="1">
      <c r="A814" s="14">
        <f t="shared" si="23"/>
        <v>810</v>
      </c>
      <c r="B814" s="18"/>
      <c r="C814" s="16" t="s">
        <v>1679</v>
      </c>
      <c r="D814" s="19"/>
      <c r="E814" s="19"/>
      <c r="F814" s="203" t="str">
        <f t="shared" si="24"/>
        <v/>
      </c>
    </row>
    <row r="815" spans="1:6" ht="14.1" customHeight="1">
      <c r="A815" s="14">
        <f t="shared" si="23"/>
        <v>811</v>
      </c>
      <c r="B815" s="18"/>
      <c r="C815" s="16" t="s">
        <v>1679</v>
      </c>
      <c r="D815" s="19"/>
      <c r="E815" s="19"/>
      <c r="F815" s="203" t="str">
        <f t="shared" si="24"/>
        <v/>
      </c>
    </row>
    <row r="816" spans="1:6" ht="14.1" customHeight="1">
      <c r="A816" s="14">
        <f t="shared" si="23"/>
        <v>812</v>
      </c>
      <c r="B816" s="18"/>
      <c r="C816" s="16" t="s">
        <v>1679</v>
      </c>
      <c r="D816" s="19"/>
      <c r="E816" s="19"/>
      <c r="F816" s="203" t="str">
        <f t="shared" si="24"/>
        <v/>
      </c>
    </row>
    <row r="817" spans="1:6" ht="14.1" customHeight="1">
      <c r="A817" s="14">
        <f t="shared" si="23"/>
        <v>813</v>
      </c>
      <c r="B817" s="18"/>
      <c r="C817" s="16" t="s">
        <v>1679</v>
      </c>
      <c r="D817" s="19"/>
      <c r="E817" s="19"/>
      <c r="F817" s="203" t="str">
        <f t="shared" si="24"/>
        <v/>
      </c>
    </row>
    <row r="818" spans="1:6" ht="14.1" customHeight="1">
      <c r="A818" s="14">
        <f t="shared" si="23"/>
        <v>814</v>
      </c>
      <c r="B818" s="18"/>
      <c r="C818" s="16" t="s">
        <v>1679</v>
      </c>
      <c r="D818" s="19"/>
      <c r="E818" s="19"/>
      <c r="F818" s="203" t="str">
        <f t="shared" si="24"/>
        <v/>
      </c>
    </row>
    <row r="819" spans="1:6" ht="14.1" customHeight="1">
      <c r="A819" s="14">
        <f t="shared" si="23"/>
        <v>815</v>
      </c>
      <c r="B819" s="18"/>
      <c r="C819" s="16" t="s">
        <v>1679</v>
      </c>
      <c r="D819" s="19"/>
      <c r="E819" s="19"/>
      <c r="F819" s="203" t="str">
        <f t="shared" si="24"/>
        <v/>
      </c>
    </row>
    <row r="820" spans="1:6" ht="14.1" customHeight="1">
      <c r="A820" s="14">
        <f t="shared" si="23"/>
        <v>816</v>
      </c>
      <c r="B820" s="18"/>
      <c r="C820" s="16" t="s">
        <v>1679</v>
      </c>
      <c r="D820" s="19"/>
      <c r="E820" s="19"/>
      <c r="F820" s="203" t="str">
        <f t="shared" si="24"/>
        <v/>
      </c>
    </row>
    <row r="821" spans="1:6" ht="14.1" customHeight="1">
      <c r="A821" s="14">
        <f t="shared" si="23"/>
        <v>817</v>
      </c>
      <c r="B821" s="18"/>
      <c r="C821" s="16" t="s">
        <v>1679</v>
      </c>
      <c r="D821" s="19"/>
      <c r="E821" s="19"/>
      <c r="F821" s="203" t="str">
        <f t="shared" si="24"/>
        <v/>
      </c>
    </row>
    <row r="822" spans="1:6" ht="14.1" customHeight="1">
      <c r="A822" s="14">
        <f t="shared" si="23"/>
        <v>818</v>
      </c>
      <c r="B822" s="18"/>
      <c r="C822" s="16" t="s">
        <v>1679</v>
      </c>
      <c r="D822" s="19"/>
      <c r="E822" s="19"/>
      <c r="F822" s="203" t="str">
        <f t="shared" si="24"/>
        <v/>
      </c>
    </row>
    <row r="823" spans="1:6" ht="14.1" customHeight="1">
      <c r="A823" s="14">
        <f t="shared" si="23"/>
        <v>819</v>
      </c>
      <c r="B823" s="18"/>
      <c r="C823" s="16" t="s">
        <v>1679</v>
      </c>
      <c r="D823" s="19"/>
      <c r="E823" s="19"/>
      <c r="F823" s="203" t="str">
        <f t="shared" si="24"/>
        <v/>
      </c>
    </row>
    <row r="824" spans="1:6" ht="14.1" customHeight="1">
      <c r="A824" s="14">
        <f t="shared" si="23"/>
        <v>820</v>
      </c>
      <c r="B824" s="18"/>
      <c r="C824" s="16" t="s">
        <v>1679</v>
      </c>
      <c r="D824" s="19"/>
      <c r="E824" s="19"/>
      <c r="F824" s="203" t="str">
        <f t="shared" si="24"/>
        <v/>
      </c>
    </row>
    <row r="825" spans="1:6" ht="14.1" customHeight="1">
      <c r="A825" s="14">
        <f t="shared" si="23"/>
        <v>821</v>
      </c>
      <c r="B825" s="18"/>
      <c r="C825" s="16" t="s">
        <v>1679</v>
      </c>
      <c r="D825" s="19"/>
      <c r="E825" s="19"/>
      <c r="F825" s="203" t="str">
        <f t="shared" si="24"/>
        <v/>
      </c>
    </row>
    <row r="826" spans="1:6" ht="14.1" customHeight="1">
      <c r="A826" s="14">
        <f t="shared" si="23"/>
        <v>822</v>
      </c>
      <c r="B826" s="18"/>
      <c r="C826" s="16" t="s">
        <v>1679</v>
      </c>
      <c r="D826" s="19"/>
      <c r="E826" s="19"/>
      <c r="F826" s="203" t="str">
        <f t="shared" si="24"/>
        <v/>
      </c>
    </row>
    <row r="827" spans="1:6" ht="14.1" customHeight="1">
      <c r="A827" s="14">
        <f t="shared" si="23"/>
        <v>823</v>
      </c>
      <c r="B827" s="18"/>
      <c r="C827" s="16" t="s">
        <v>1679</v>
      </c>
      <c r="D827" s="19"/>
      <c r="E827" s="19"/>
      <c r="F827" s="203" t="str">
        <f t="shared" si="24"/>
        <v/>
      </c>
    </row>
    <row r="828" spans="1:6" ht="14.1" customHeight="1">
      <c r="A828" s="14">
        <f t="shared" si="23"/>
        <v>824</v>
      </c>
      <c r="B828" s="18"/>
      <c r="C828" s="16" t="s">
        <v>1679</v>
      </c>
      <c r="D828" s="19"/>
      <c r="E828" s="19"/>
      <c r="F828" s="203" t="str">
        <f t="shared" si="24"/>
        <v/>
      </c>
    </row>
    <row r="829" spans="1:6" ht="14.1" customHeight="1">
      <c r="A829" s="14">
        <f t="shared" si="23"/>
        <v>825</v>
      </c>
      <c r="B829" s="18"/>
      <c r="C829" s="16" t="s">
        <v>1679</v>
      </c>
      <c r="D829" s="19"/>
      <c r="E829" s="19"/>
      <c r="F829" s="203" t="str">
        <f t="shared" si="24"/>
        <v/>
      </c>
    </row>
    <row r="830" spans="1:6" ht="14.1" customHeight="1">
      <c r="A830" s="14">
        <f t="shared" si="23"/>
        <v>826</v>
      </c>
      <c r="B830" s="18"/>
      <c r="C830" s="16" t="s">
        <v>1679</v>
      </c>
      <c r="D830" s="19"/>
      <c r="E830" s="19"/>
      <c r="F830" s="203" t="str">
        <f t="shared" si="24"/>
        <v/>
      </c>
    </row>
    <row r="831" spans="1:6" ht="14.1" customHeight="1">
      <c r="A831" s="14">
        <f t="shared" si="23"/>
        <v>827</v>
      </c>
      <c r="B831" s="18"/>
      <c r="C831" s="16" t="s">
        <v>1679</v>
      </c>
      <c r="D831" s="19"/>
      <c r="E831" s="19"/>
      <c r="F831" s="203" t="str">
        <f t="shared" si="24"/>
        <v/>
      </c>
    </row>
    <row r="832" spans="1:6" ht="14.1" customHeight="1">
      <c r="A832" s="14">
        <f t="shared" si="23"/>
        <v>828</v>
      </c>
      <c r="B832" s="18"/>
      <c r="C832" s="16" t="s">
        <v>1679</v>
      </c>
      <c r="D832" s="19"/>
      <c r="E832" s="19"/>
      <c r="F832" s="203" t="str">
        <f t="shared" si="24"/>
        <v/>
      </c>
    </row>
    <row r="833" spans="1:6" ht="14.1" customHeight="1">
      <c r="A833" s="14">
        <f t="shared" si="23"/>
        <v>829</v>
      </c>
      <c r="B833" s="18"/>
      <c r="C833" s="16" t="s">
        <v>1679</v>
      </c>
      <c r="D833" s="19"/>
      <c r="E833" s="19"/>
      <c r="F833" s="203" t="str">
        <f t="shared" si="24"/>
        <v/>
      </c>
    </row>
    <row r="834" spans="1:6" ht="14.1" customHeight="1">
      <c r="A834" s="14">
        <f t="shared" si="23"/>
        <v>830</v>
      </c>
      <c r="B834" s="18"/>
      <c r="C834" s="16" t="s">
        <v>1679</v>
      </c>
      <c r="D834" s="19"/>
      <c r="E834" s="19"/>
      <c r="F834" s="203" t="str">
        <f t="shared" si="24"/>
        <v/>
      </c>
    </row>
    <row r="835" spans="1:6" ht="14.1" customHeight="1">
      <c r="A835" s="14">
        <f t="shared" ref="A835:A898" si="25">A834+1</f>
        <v>831</v>
      </c>
      <c r="B835" s="18"/>
      <c r="C835" s="16" t="s">
        <v>1679</v>
      </c>
      <c r="D835" s="19"/>
      <c r="E835" s="19"/>
      <c r="F835" s="203" t="str">
        <f t="shared" si="24"/>
        <v/>
      </c>
    </row>
    <row r="836" spans="1:6" ht="14.1" customHeight="1">
      <c r="A836" s="14">
        <f t="shared" si="25"/>
        <v>832</v>
      </c>
      <c r="B836" s="18"/>
      <c r="C836" s="16" t="s">
        <v>1679</v>
      </c>
      <c r="D836" s="19"/>
      <c r="E836" s="19"/>
      <c r="F836" s="203" t="str">
        <f t="shared" si="24"/>
        <v/>
      </c>
    </row>
    <row r="837" spans="1:6" ht="14.1" customHeight="1">
      <c r="A837" s="14">
        <f t="shared" si="25"/>
        <v>833</v>
      </c>
      <c r="B837" s="18"/>
      <c r="C837" s="16" t="s">
        <v>1679</v>
      </c>
      <c r="D837" s="19"/>
      <c r="E837" s="19"/>
      <c r="F837" s="203" t="str">
        <f t="shared" si="24"/>
        <v/>
      </c>
    </row>
    <row r="838" spans="1:6" ht="14.1" customHeight="1">
      <c r="A838" s="14">
        <f t="shared" si="25"/>
        <v>834</v>
      </c>
      <c r="B838" s="18"/>
      <c r="C838" s="16" t="s">
        <v>1679</v>
      </c>
      <c r="D838" s="19"/>
      <c r="E838" s="19"/>
      <c r="F838" s="203" t="str">
        <f t="shared" si="24"/>
        <v/>
      </c>
    </row>
    <row r="839" spans="1:6" ht="14.1" customHeight="1">
      <c r="A839" s="14">
        <f t="shared" si="25"/>
        <v>835</v>
      </c>
      <c r="B839" s="18"/>
      <c r="C839" s="16" t="s">
        <v>1679</v>
      </c>
      <c r="D839" s="19"/>
      <c r="E839" s="19"/>
      <c r="F839" s="203" t="str">
        <f t="shared" si="24"/>
        <v/>
      </c>
    </row>
    <row r="840" spans="1:6" ht="14.1" customHeight="1">
      <c r="A840" s="14">
        <f t="shared" si="25"/>
        <v>836</v>
      </c>
      <c r="B840" s="18"/>
      <c r="C840" s="16" t="s">
        <v>1679</v>
      </c>
      <c r="D840" s="19"/>
      <c r="E840" s="19"/>
      <c r="F840" s="203" t="str">
        <f t="shared" si="24"/>
        <v/>
      </c>
    </row>
    <row r="841" spans="1:6" ht="14.1" customHeight="1">
      <c r="A841" s="14">
        <f t="shared" si="25"/>
        <v>837</v>
      </c>
      <c r="B841" s="18"/>
      <c r="C841" s="16" t="s">
        <v>1679</v>
      </c>
      <c r="D841" s="19"/>
      <c r="E841" s="19"/>
      <c r="F841" s="203" t="str">
        <f t="shared" si="24"/>
        <v/>
      </c>
    </row>
    <row r="842" spans="1:6" ht="14.1" customHeight="1">
      <c r="A842" s="14">
        <f t="shared" si="25"/>
        <v>838</v>
      </c>
      <c r="B842" s="18"/>
      <c r="C842" s="16" t="s">
        <v>1679</v>
      </c>
      <c r="D842" s="19"/>
      <c r="E842" s="19"/>
      <c r="F842" s="203" t="str">
        <f t="shared" si="24"/>
        <v/>
      </c>
    </row>
    <row r="843" spans="1:6" ht="14.1" customHeight="1">
      <c r="A843" s="14">
        <f t="shared" si="25"/>
        <v>839</v>
      </c>
      <c r="B843" s="18"/>
      <c r="C843" s="16" t="s">
        <v>1679</v>
      </c>
      <c r="D843" s="19"/>
      <c r="E843" s="19"/>
      <c r="F843" s="203" t="str">
        <f t="shared" si="24"/>
        <v/>
      </c>
    </row>
    <row r="844" spans="1:6" ht="14.1" customHeight="1">
      <c r="A844" s="14">
        <f t="shared" si="25"/>
        <v>840</v>
      </c>
      <c r="B844" s="18"/>
      <c r="C844" s="16" t="s">
        <v>1679</v>
      </c>
      <c r="D844" s="19"/>
      <c r="E844" s="19"/>
      <c r="F844" s="203" t="str">
        <f t="shared" si="24"/>
        <v/>
      </c>
    </row>
    <row r="845" spans="1:6" ht="14.1" customHeight="1">
      <c r="A845" s="14">
        <f t="shared" si="25"/>
        <v>841</v>
      </c>
      <c r="B845" s="18"/>
      <c r="C845" s="16" t="s">
        <v>1679</v>
      </c>
      <c r="D845" s="19"/>
      <c r="E845" s="19"/>
      <c r="F845" s="203" t="str">
        <f t="shared" si="24"/>
        <v/>
      </c>
    </row>
    <row r="846" spans="1:6" ht="14.1" customHeight="1">
      <c r="A846" s="14">
        <f t="shared" si="25"/>
        <v>842</v>
      </c>
      <c r="B846" s="18"/>
      <c r="C846" s="16" t="s">
        <v>1679</v>
      </c>
      <c r="D846" s="19"/>
      <c r="E846" s="19"/>
      <c r="F846" s="203" t="str">
        <f t="shared" si="24"/>
        <v/>
      </c>
    </row>
    <row r="847" spans="1:6" ht="14.1" customHeight="1">
      <c r="A847" s="14">
        <f t="shared" si="25"/>
        <v>843</v>
      </c>
      <c r="B847" s="18"/>
      <c r="C847" s="16" t="s">
        <v>1679</v>
      </c>
      <c r="D847" s="19"/>
      <c r="E847" s="19"/>
      <c r="F847" s="203" t="str">
        <f t="shared" si="24"/>
        <v/>
      </c>
    </row>
    <row r="848" spans="1:6" ht="14.1" customHeight="1">
      <c r="A848" s="14">
        <f t="shared" si="25"/>
        <v>844</v>
      </c>
      <c r="B848" s="18"/>
      <c r="C848" s="16" t="s">
        <v>1679</v>
      </c>
      <c r="D848" s="19"/>
      <c r="E848" s="19"/>
      <c r="F848" s="203" t="str">
        <f t="shared" si="24"/>
        <v/>
      </c>
    </row>
    <row r="849" spans="1:6" ht="14.1" customHeight="1">
      <c r="A849" s="14">
        <f t="shared" si="25"/>
        <v>845</v>
      </c>
      <c r="B849" s="18"/>
      <c r="C849" s="16" t="s">
        <v>1679</v>
      </c>
      <c r="D849" s="19"/>
      <c r="E849" s="19"/>
      <c r="F849" s="203" t="str">
        <f t="shared" si="24"/>
        <v/>
      </c>
    </row>
    <row r="850" spans="1:6" ht="14.1" customHeight="1">
      <c r="A850" s="14">
        <f t="shared" si="25"/>
        <v>846</v>
      </c>
      <c r="B850" s="18"/>
      <c r="C850" s="16" t="s">
        <v>1679</v>
      </c>
      <c r="D850" s="19"/>
      <c r="E850" s="19"/>
      <c r="F850" s="203" t="str">
        <f t="shared" si="24"/>
        <v/>
      </c>
    </row>
    <row r="851" spans="1:6" ht="14.1" customHeight="1">
      <c r="A851" s="14">
        <f t="shared" si="25"/>
        <v>847</v>
      </c>
      <c r="B851" s="18"/>
      <c r="C851" s="16" t="s">
        <v>1679</v>
      </c>
      <c r="D851" s="19"/>
      <c r="E851" s="19"/>
      <c r="F851" s="203" t="str">
        <f t="shared" si="24"/>
        <v/>
      </c>
    </row>
    <row r="852" spans="1:6" ht="14.1" customHeight="1">
      <c r="A852" s="14">
        <f t="shared" si="25"/>
        <v>848</v>
      </c>
      <c r="B852" s="18"/>
      <c r="C852" s="16" t="s">
        <v>1679</v>
      </c>
      <c r="D852" s="19"/>
      <c r="E852" s="19"/>
      <c r="F852" s="203" t="str">
        <f t="shared" si="24"/>
        <v/>
      </c>
    </row>
    <row r="853" spans="1:6" ht="14.1" customHeight="1">
      <c r="A853" s="14">
        <f t="shared" si="25"/>
        <v>849</v>
      </c>
      <c r="B853" s="18"/>
      <c r="C853" s="16" t="s">
        <v>1679</v>
      </c>
      <c r="D853" s="19"/>
      <c r="E853" s="19"/>
      <c r="F853" s="203" t="str">
        <f t="shared" si="24"/>
        <v/>
      </c>
    </row>
    <row r="854" spans="1:6" ht="14.1" customHeight="1">
      <c r="A854" s="14">
        <f t="shared" si="25"/>
        <v>850</v>
      </c>
      <c r="B854" s="18"/>
      <c r="C854" s="16" t="s">
        <v>1679</v>
      </c>
      <c r="D854" s="19"/>
      <c r="E854" s="19"/>
      <c r="F854" s="203" t="str">
        <f t="shared" si="24"/>
        <v/>
      </c>
    </row>
    <row r="855" spans="1:6" ht="14.1" customHeight="1">
      <c r="A855" s="14">
        <f t="shared" si="25"/>
        <v>851</v>
      </c>
      <c r="B855" s="18"/>
      <c r="C855" s="16" t="s">
        <v>1679</v>
      </c>
      <c r="D855" s="19"/>
      <c r="E855" s="19"/>
      <c r="F855" s="203" t="str">
        <f t="shared" si="24"/>
        <v/>
      </c>
    </row>
    <row r="856" spans="1:6" ht="14.1" customHeight="1">
      <c r="A856" s="14">
        <f t="shared" si="25"/>
        <v>852</v>
      </c>
      <c r="B856" s="18"/>
      <c r="C856" s="16" t="s">
        <v>1679</v>
      </c>
      <c r="D856" s="19"/>
      <c r="E856" s="19"/>
      <c r="F856" s="203" t="str">
        <f t="shared" si="24"/>
        <v/>
      </c>
    </row>
    <row r="857" spans="1:6" ht="14.1" customHeight="1">
      <c r="A857" s="14">
        <f t="shared" si="25"/>
        <v>853</v>
      </c>
      <c r="B857" s="18"/>
      <c r="C857" s="16" t="s">
        <v>1679</v>
      </c>
      <c r="D857" s="19"/>
      <c r="E857" s="19"/>
      <c r="F857" s="203" t="str">
        <f t="shared" si="24"/>
        <v/>
      </c>
    </row>
    <row r="858" spans="1:6" ht="14.1" customHeight="1">
      <c r="A858" s="14">
        <f t="shared" si="25"/>
        <v>854</v>
      </c>
      <c r="B858" s="18"/>
      <c r="C858" s="16" t="s">
        <v>1679</v>
      </c>
      <c r="D858" s="19"/>
      <c r="E858" s="19"/>
      <c r="F858" s="203" t="str">
        <f t="shared" si="24"/>
        <v/>
      </c>
    </row>
    <row r="859" spans="1:6" ht="14.1" customHeight="1">
      <c r="A859" s="14">
        <f t="shared" si="25"/>
        <v>855</v>
      </c>
      <c r="B859" s="18"/>
      <c r="C859" s="16" t="s">
        <v>1679</v>
      </c>
      <c r="D859" s="19"/>
      <c r="E859" s="19"/>
      <c r="F859" s="203" t="str">
        <f t="shared" si="24"/>
        <v/>
      </c>
    </row>
    <row r="860" spans="1:6" ht="14.1" customHeight="1">
      <c r="A860" s="14">
        <f t="shared" si="25"/>
        <v>856</v>
      </c>
      <c r="B860" s="18"/>
      <c r="C860" s="16" t="s">
        <v>1679</v>
      </c>
      <c r="D860" s="19"/>
      <c r="E860" s="19"/>
      <c r="F860" s="203" t="str">
        <f t="shared" si="24"/>
        <v/>
      </c>
    </row>
    <row r="861" spans="1:6" ht="14.1" customHeight="1">
      <c r="A861" s="14">
        <f t="shared" si="25"/>
        <v>857</v>
      </c>
      <c r="B861" s="18"/>
      <c r="C861" s="16" t="s">
        <v>1679</v>
      </c>
      <c r="D861" s="19"/>
      <c r="E861" s="19"/>
      <c r="F861" s="203" t="str">
        <f t="shared" si="24"/>
        <v/>
      </c>
    </row>
    <row r="862" spans="1:6" ht="14.1" customHeight="1">
      <c r="A862" s="14">
        <f t="shared" si="25"/>
        <v>858</v>
      </c>
      <c r="B862" s="18"/>
      <c r="C862" s="16" t="s">
        <v>1679</v>
      </c>
      <c r="D862" s="19"/>
      <c r="E862" s="19"/>
      <c r="F862" s="203" t="str">
        <f t="shared" si="24"/>
        <v/>
      </c>
    </row>
    <row r="863" spans="1:6" ht="14.1" customHeight="1">
      <c r="A863" s="14">
        <f t="shared" si="25"/>
        <v>859</v>
      </c>
      <c r="B863" s="18"/>
      <c r="C863" s="16" t="s">
        <v>1679</v>
      </c>
      <c r="D863" s="19"/>
      <c r="E863" s="19"/>
      <c r="F863" s="203" t="str">
        <f t="shared" si="24"/>
        <v/>
      </c>
    </row>
    <row r="864" spans="1:6" ht="14.1" customHeight="1">
      <c r="A864" s="14">
        <f t="shared" si="25"/>
        <v>860</v>
      </c>
      <c r="B864" s="18"/>
      <c r="C864" s="16" t="s">
        <v>1679</v>
      </c>
      <c r="D864" s="19"/>
      <c r="E864" s="19"/>
      <c r="F864" s="203" t="str">
        <f t="shared" si="24"/>
        <v/>
      </c>
    </row>
    <row r="865" spans="1:6" ht="14.1" customHeight="1">
      <c r="A865" s="14">
        <f t="shared" si="25"/>
        <v>861</v>
      </c>
      <c r="B865" s="18"/>
      <c r="C865" s="16" t="s">
        <v>1679</v>
      </c>
      <c r="D865" s="19"/>
      <c r="E865" s="19"/>
      <c r="F865" s="203" t="str">
        <f t="shared" si="24"/>
        <v/>
      </c>
    </row>
    <row r="866" spans="1:6" ht="14.1" customHeight="1">
      <c r="A866" s="14">
        <f t="shared" si="25"/>
        <v>862</v>
      </c>
      <c r="B866" s="18"/>
      <c r="C866" s="16" t="s">
        <v>1679</v>
      </c>
      <c r="D866" s="19"/>
      <c r="E866" s="19"/>
      <c r="F866" s="203" t="str">
        <f t="shared" si="24"/>
        <v/>
      </c>
    </row>
    <row r="867" spans="1:6" ht="14.1" customHeight="1">
      <c r="A867" s="14">
        <f t="shared" si="25"/>
        <v>863</v>
      </c>
      <c r="B867" s="18"/>
      <c r="C867" s="16" t="s">
        <v>1679</v>
      </c>
      <c r="D867" s="19"/>
      <c r="E867" s="19"/>
      <c r="F867" s="203" t="str">
        <f t="shared" si="24"/>
        <v/>
      </c>
    </row>
    <row r="868" spans="1:6" ht="14.1" customHeight="1">
      <c r="A868" s="14">
        <f t="shared" si="25"/>
        <v>864</v>
      </c>
      <c r="B868" s="18"/>
      <c r="C868" s="16" t="s">
        <v>1679</v>
      </c>
      <c r="D868" s="19"/>
      <c r="E868" s="19"/>
      <c r="F868" s="203" t="str">
        <f t="shared" si="24"/>
        <v/>
      </c>
    </row>
    <row r="869" spans="1:6" ht="14.1" customHeight="1">
      <c r="A869" s="14">
        <f t="shared" si="25"/>
        <v>865</v>
      </c>
      <c r="B869" s="18"/>
      <c r="C869" s="16" t="s">
        <v>1679</v>
      </c>
      <c r="D869" s="19"/>
      <c r="E869" s="19"/>
      <c r="F869" s="203" t="str">
        <f t="shared" si="24"/>
        <v/>
      </c>
    </row>
    <row r="870" spans="1:6" ht="14.1" customHeight="1">
      <c r="A870" s="14">
        <f t="shared" si="25"/>
        <v>866</v>
      </c>
      <c r="B870" s="18"/>
      <c r="C870" s="16" t="s">
        <v>1679</v>
      </c>
      <c r="D870" s="19"/>
      <c r="E870" s="19"/>
      <c r="F870" s="203" t="str">
        <f t="shared" si="24"/>
        <v/>
      </c>
    </row>
    <row r="871" spans="1:6" ht="14.1" customHeight="1">
      <c r="A871" s="14">
        <f t="shared" si="25"/>
        <v>867</v>
      </c>
      <c r="B871" s="18"/>
      <c r="C871" s="16" t="s">
        <v>1679</v>
      </c>
      <c r="D871" s="19"/>
      <c r="E871" s="19"/>
      <c r="F871" s="203" t="str">
        <f t="shared" si="24"/>
        <v/>
      </c>
    </row>
    <row r="872" spans="1:6" ht="14.1" customHeight="1">
      <c r="A872" s="14">
        <f t="shared" si="25"/>
        <v>868</v>
      </c>
      <c r="B872" s="18"/>
      <c r="C872" s="16" t="s">
        <v>1679</v>
      </c>
      <c r="D872" s="19"/>
      <c r="E872" s="19"/>
      <c r="F872" s="203" t="str">
        <f t="shared" si="24"/>
        <v/>
      </c>
    </row>
    <row r="873" spans="1:6" ht="14.1" customHeight="1">
      <c r="A873" s="14">
        <f t="shared" si="25"/>
        <v>869</v>
      </c>
      <c r="B873" s="18"/>
      <c r="C873" s="16" t="s">
        <v>1679</v>
      </c>
      <c r="D873" s="19"/>
      <c r="E873" s="19"/>
      <c r="F873" s="203" t="str">
        <f t="shared" si="24"/>
        <v/>
      </c>
    </row>
    <row r="874" spans="1:6" ht="14.1" customHeight="1">
      <c r="A874" s="14">
        <f t="shared" si="25"/>
        <v>870</v>
      </c>
      <c r="B874" s="18"/>
      <c r="C874" s="16" t="s">
        <v>1679</v>
      </c>
      <c r="D874" s="19"/>
      <c r="E874" s="19"/>
      <c r="F874" s="203" t="str">
        <f t="shared" ref="F874:F937" si="26">IF(AND(B875&lt;&gt;"",B874=""),"Don't skip lines",IF(AND(D874="",B874&lt;&gt;""),"Enter U-value",IF(AND(D874&lt;&gt;"",B874=""),"Enter Description","")))</f>
        <v/>
      </c>
    </row>
    <row r="875" spans="1:6" ht="14.1" customHeight="1">
      <c r="A875" s="14">
        <f t="shared" si="25"/>
        <v>871</v>
      </c>
      <c r="B875" s="18"/>
      <c r="C875" s="16" t="s">
        <v>1679</v>
      </c>
      <c r="D875" s="19"/>
      <c r="E875" s="19"/>
      <c r="F875" s="203" t="str">
        <f t="shared" si="26"/>
        <v/>
      </c>
    </row>
    <row r="876" spans="1:6" ht="14.1" customHeight="1">
      <c r="A876" s="14">
        <f t="shared" si="25"/>
        <v>872</v>
      </c>
      <c r="B876" s="18"/>
      <c r="C876" s="16" t="s">
        <v>1679</v>
      </c>
      <c r="D876" s="19"/>
      <c r="E876" s="19"/>
      <c r="F876" s="203" t="str">
        <f t="shared" si="26"/>
        <v/>
      </c>
    </row>
    <row r="877" spans="1:6" ht="14.1" customHeight="1">
      <c r="A877" s="14">
        <f t="shared" si="25"/>
        <v>873</v>
      </c>
      <c r="B877" s="18"/>
      <c r="C877" s="16" t="s">
        <v>1679</v>
      </c>
      <c r="D877" s="19"/>
      <c r="E877" s="19"/>
      <c r="F877" s="203" t="str">
        <f t="shared" si="26"/>
        <v/>
      </c>
    </row>
    <row r="878" spans="1:6" ht="14.1" customHeight="1">
      <c r="A878" s="14">
        <f t="shared" si="25"/>
        <v>874</v>
      </c>
      <c r="B878" s="18"/>
      <c r="C878" s="16" t="s">
        <v>1679</v>
      </c>
      <c r="D878" s="19"/>
      <c r="E878" s="19"/>
      <c r="F878" s="203" t="str">
        <f t="shared" si="26"/>
        <v/>
      </c>
    </row>
    <row r="879" spans="1:6" ht="14.1" customHeight="1">
      <c r="A879" s="14">
        <f t="shared" si="25"/>
        <v>875</v>
      </c>
      <c r="B879" s="18"/>
      <c r="C879" s="16" t="s">
        <v>1679</v>
      </c>
      <c r="D879" s="19"/>
      <c r="E879" s="19"/>
      <c r="F879" s="203" t="str">
        <f t="shared" si="26"/>
        <v/>
      </c>
    </row>
    <row r="880" spans="1:6" ht="14.1" customHeight="1">
      <c r="A880" s="14">
        <f t="shared" si="25"/>
        <v>876</v>
      </c>
      <c r="B880" s="18"/>
      <c r="C880" s="16" t="s">
        <v>1679</v>
      </c>
      <c r="D880" s="19"/>
      <c r="E880" s="19"/>
      <c r="F880" s="203" t="str">
        <f t="shared" si="26"/>
        <v/>
      </c>
    </row>
    <row r="881" spans="1:6" ht="14.1" customHeight="1">
      <c r="A881" s="14">
        <f t="shared" si="25"/>
        <v>877</v>
      </c>
      <c r="B881" s="18"/>
      <c r="C881" s="16" t="s">
        <v>1679</v>
      </c>
      <c r="D881" s="19"/>
      <c r="E881" s="19"/>
      <c r="F881" s="203" t="str">
        <f t="shared" si="26"/>
        <v/>
      </c>
    </row>
    <row r="882" spans="1:6" ht="14.1" customHeight="1">
      <c r="A882" s="14">
        <f t="shared" si="25"/>
        <v>878</v>
      </c>
      <c r="B882" s="18"/>
      <c r="C882" s="16" t="s">
        <v>1679</v>
      </c>
      <c r="D882" s="19"/>
      <c r="E882" s="19"/>
      <c r="F882" s="203" t="str">
        <f t="shared" si="26"/>
        <v/>
      </c>
    </row>
    <row r="883" spans="1:6" ht="14.1" customHeight="1">
      <c r="A883" s="14">
        <f t="shared" si="25"/>
        <v>879</v>
      </c>
      <c r="B883" s="18"/>
      <c r="C883" s="16" t="s">
        <v>1679</v>
      </c>
      <c r="D883" s="19"/>
      <c r="E883" s="19"/>
      <c r="F883" s="203" t="str">
        <f t="shared" si="26"/>
        <v/>
      </c>
    </row>
    <row r="884" spans="1:6" ht="14.1" customHeight="1">
      <c r="A884" s="14">
        <f t="shared" si="25"/>
        <v>880</v>
      </c>
      <c r="B884" s="18"/>
      <c r="C884" s="16" t="s">
        <v>1679</v>
      </c>
      <c r="D884" s="19"/>
      <c r="E884" s="19"/>
      <c r="F884" s="203" t="str">
        <f t="shared" si="26"/>
        <v/>
      </c>
    </row>
    <row r="885" spans="1:6" ht="14.1" customHeight="1">
      <c r="A885" s="14">
        <f t="shared" si="25"/>
        <v>881</v>
      </c>
      <c r="B885" s="18"/>
      <c r="C885" s="16" t="s">
        <v>1679</v>
      </c>
      <c r="D885" s="19"/>
      <c r="E885" s="19"/>
      <c r="F885" s="203" t="str">
        <f t="shared" si="26"/>
        <v/>
      </c>
    </row>
    <row r="886" spans="1:6" ht="14.1" customHeight="1">
      <c r="A886" s="14">
        <f t="shared" si="25"/>
        <v>882</v>
      </c>
      <c r="B886" s="18"/>
      <c r="C886" s="16" t="s">
        <v>1679</v>
      </c>
      <c r="D886" s="19"/>
      <c r="E886" s="19"/>
      <c r="F886" s="203" t="str">
        <f t="shared" si="26"/>
        <v/>
      </c>
    </row>
    <row r="887" spans="1:6" ht="14.1" customHeight="1">
      <c r="A887" s="14">
        <f t="shared" si="25"/>
        <v>883</v>
      </c>
      <c r="B887" s="18"/>
      <c r="C887" s="16" t="s">
        <v>1679</v>
      </c>
      <c r="D887" s="19"/>
      <c r="E887" s="19"/>
      <c r="F887" s="203" t="str">
        <f t="shared" si="26"/>
        <v/>
      </c>
    </row>
    <row r="888" spans="1:6" ht="14.1" customHeight="1">
      <c r="A888" s="14">
        <f t="shared" si="25"/>
        <v>884</v>
      </c>
      <c r="B888" s="18"/>
      <c r="C888" s="16" t="s">
        <v>1679</v>
      </c>
      <c r="D888" s="19"/>
      <c r="E888" s="19"/>
      <c r="F888" s="203" t="str">
        <f t="shared" si="26"/>
        <v/>
      </c>
    </row>
    <row r="889" spans="1:6" ht="14.1" customHeight="1">
      <c r="A889" s="14">
        <f t="shared" si="25"/>
        <v>885</v>
      </c>
      <c r="B889" s="18"/>
      <c r="C889" s="16" t="s">
        <v>1679</v>
      </c>
      <c r="D889" s="19"/>
      <c r="E889" s="19"/>
      <c r="F889" s="203" t="str">
        <f t="shared" si="26"/>
        <v/>
      </c>
    </row>
    <row r="890" spans="1:6" ht="14.1" customHeight="1">
      <c r="A890" s="14">
        <f t="shared" si="25"/>
        <v>886</v>
      </c>
      <c r="B890" s="18"/>
      <c r="C890" s="16" t="s">
        <v>1679</v>
      </c>
      <c r="D890" s="19"/>
      <c r="E890" s="19"/>
      <c r="F890" s="203" t="str">
        <f t="shared" si="26"/>
        <v/>
      </c>
    </row>
    <row r="891" spans="1:6" ht="14.1" customHeight="1">
      <c r="A891" s="14">
        <f t="shared" si="25"/>
        <v>887</v>
      </c>
      <c r="B891" s="18"/>
      <c r="C891" s="16" t="s">
        <v>1679</v>
      </c>
      <c r="D891" s="19"/>
      <c r="E891" s="19"/>
      <c r="F891" s="203" t="str">
        <f t="shared" si="26"/>
        <v/>
      </c>
    </row>
    <row r="892" spans="1:6" ht="14.1" customHeight="1">
      <c r="A892" s="14">
        <f t="shared" si="25"/>
        <v>888</v>
      </c>
      <c r="B892" s="18"/>
      <c r="C892" s="16" t="s">
        <v>1679</v>
      </c>
      <c r="D892" s="19"/>
      <c r="E892" s="19"/>
      <c r="F892" s="203" t="str">
        <f t="shared" si="26"/>
        <v/>
      </c>
    </row>
    <row r="893" spans="1:6" ht="14.1" customHeight="1">
      <c r="A893" s="14">
        <f t="shared" si="25"/>
        <v>889</v>
      </c>
      <c r="B893" s="18"/>
      <c r="C893" s="16" t="s">
        <v>1679</v>
      </c>
      <c r="D893" s="19"/>
      <c r="E893" s="19"/>
      <c r="F893" s="203" t="str">
        <f t="shared" si="26"/>
        <v/>
      </c>
    </row>
    <row r="894" spans="1:6" ht="14.1" customHeight="1">
      <c r="A894" s="14">
        <f t="shared" si="25"/>
        <v>890</v>
      </c>
      <c r="B894" s="18"/>
      <c r="C894" s="16" t="s">
        <v>1679</v>
      </c>
      <c r="D894" s="19"/>
      <c r="E894" s="19"/>
      <c r="F894" s="203" t="str">
        <f t="shared" si="26"/>
        <v/>
      </c>
    </row>
    <row r="895" spans="1:6" ht="14.1" customHeight="1">
      <c r="A895" s="14">
        <f t="shared" si="25"/>
        <v>891</v>
      </c>
      <c r="B895" s="18"/>
      <c r="C895" s="16" t="s">
        <v>1679</v>
      </c>
      <c r="D895" s="19"/>
      <c r="E895" s="19"/>
      <c r="F895" s="203" t="str">
        <f t="shared" si="26"/>
        <v/>
      </c>
    </row>
    <row r="896" spans="1:6" ht="14.1" customHeight="1">
      <c r="A896" s="14">
        <f t="shared" si="25"/>
        <v>892</v>
      </c>
      <c r="B896" s="18"/>
      <c r="C896" s="16" t="s">
        <v>1679</v>
      </c>
      <c r="D896" s="19"/>
      <c r="E896" s="19"/>
      <c r="F896" s="203" t="str">
        <f t="shared" si="26"/>
        <v/>
      </c>
    </row>
    <row r="897" spans="1:6" ht="14.1" customHeight="1">
      <c r="A897" s="14">
        <f t="shared" si="25"/>
        <v>893</v>
      </c>
      <c r="B897" s="18"/>
      <c r="C897" s="16" t="s">
        <v>1679</v>
      </c>
      <c r="D897" s="19"/>
      <c r="E897" s="19"/>
      <c r="F897" s="203" t="str">
        <f t="shared" si="26"/>
        <v/>
      </c>
    </row>
    <row r="898" spans="1:6" ht="14.1" customHeight="1">
      <c r="A898" s="14">
        <f t="shared" si="25"/>
        <v>894</v>
      </c>
      <c r="B898" s="18"/>
      <c r="C898" s="16" t="s">
        <v>1679</v>
      </c>
      <c r="D898" s="19"/>
      <c r="E898" s="19"/>
      <c r="F898" s="203" t="str">
        <f t="shared" si="26"/>
        <v/>
      </c>
    </row>
    <row r="899" spans="1:6" ht="14.1" customHeight="1">
      <c r="A899" s="14">
        <f t="shared" ref="A899:A962" si="27">A898+1</f>
        <v>895</v>
      </c>
      <c r="B899" s="18"/>
      <c r="C899" s="16" t="s">
        <v>1679</v>
      </c>
      <c r="D899" s="19"/>
      <c r="E899" s="19"/>
      <c r="F899" s="203" t="str">
        <f t="shared" si="26"/>
        <v/>
      </c>
    </row>
    <row r="900" spans="1:6" ht="14.1" customHeight="1">
      <c r="A900" s="14">
        <f t="shared" si="27"/>
        <v>896</v>
      </c>
      <c r="B900" s="18"/>
      <c r="C900" s="16" t="s">
        <v>1679</v>
      </c>
      <c r="D900" s="19"/>
      <c r="E900" s="19"/>
      <c r="F900" s="203" t="str">
        <f t="shared" si="26"/>
        <v/>
      </c>
    </row>
    <row r="901" spans="1:6" ht="14.1" customHeight="1">
      <c r="A901" s="14">
        <f t="shared" si="27"/>
        <v>897</v>
      </c>
      <c r="B901" s="18"/>
      <c r="C901" s="16" t="s">
        <v>1679</v>
      </c>
      <c r="D901" s="19"/>
      <c r="E901" s="19"/>
      <c r="F901" s="203" t="str">
        <f t="shared" si="26"/>
        <v/>
      </c>
    </row>
    <row r="902" spans="1:6" ht="14.1" customHeight="1">
      <c r="A902" s="14">
        <f t="shared" si="27"/>
        <v>898</v>
      </c>
      <c r="B902" s="18"/>
      <c r="C902" s="16" t="s">
        <v>1679</v>
      </c>
      <c r="D902" s="19"/>
      <c r="E902" s="19"/>
      <c r="F902" s="203" t="str">
        <f t="shared" si="26"/>
        <v/>
      </c>
    </row>
    <row r="903" spans="1:6" ht="14.1" customHeight="1">
      <c r="A903" s="14">
        <f t="shared" si="27"/>
        <v>899</v>
      </c>
      <c r="B903" s="18"/>
      <c r="C903" s="16" t="s">
        <v>1679</v>
      </c>
      <c r="D903" s="19"/>
      <c r="E903" s="19"/>
      <c r="F903" s="203" t="str">
        <f t="shared" si="26"/>
        <v/>
      </c>
    </row>
    <row r="904" spans="1:6" ht="14.1" customHeight="1">
      <c r="A904" s="14">
        <f t="shared" si="27"/>
        <v>900</v>
      </c>
      <c r="B904" s="18"/>
      <c r="C904" s="16" t="s">
        <v>1679</v>
      </c>
      <c r="D904" s="19"/>
      <c r="E904" s="19"/>
      <c r="F904" s="203" t="str">
        <f t="shared" si="26"/>
        <v/>
      </c>
    </row>
    <row r="905" spans="1:6" ht="14.1" customHeight="1">
      <c r="A905" s="14">
        <f t="shared" si="27"/>
        <v>901</v>
      </c>
      <c r="B905" s="18"/>
      <c r="C905" s="16" t="s">
        <v>1679</v>
      </c>
      <c r="D905" s="19"/>
      <c r="E905" s="19"/>
      <c r="F905" s="203" t="str">
        <f t="shared" si="26"/>
        <v/>
      </c>
    </row>
    <row r="906" spans="1:6" ht="14.1" customHeight="1">
      <c r="A906" s="14">
        <f t="shared" si="27"/>
        <v>902</v>
      </c>
      <c r="B906" s="18"/>
      <c r="C906" s="16" t="s">
        <v>1679</v>
      </c>
      <c r="D906" s="19"/>
      <c r="E906" s="19"/>
      <c r="F906" s="203" t="str">
        <f t="shared" si="26"/>
        <v/>
      </c>
    </row>
    <row r="907" spans="1:6" ht="14.1" customHeight="1">
      <c r="A907" s="14">
        <f t="shared" si="27"/>
        <v>903</v>
      </c>
      <c r="B907" s="18"/>
      <c r="C907" s="16" t="s">
        <v>1679</v>
      </c>
      <c r="D907" s="19"/>
      <c r="E907" s="19"/>
      <c r="F907" s="203" t="str">
        <f t="shared" si="26"/>
        <v/>
      </c>
    </row>
    <row r="908" spans="1:6" ht="14.1" customHeight="1">
      <c r="A908" s="14">
        <f t="shared" si="27"/>
        <v>904</v>
      </c>
      <c r="B908" s="18"/>
      <c r="C908" s="16" t="s">
        <v>1679</v>
      </c>
      <c r="D908" s="19"/>
      <c r="E908" s="19"/>
      <c r="F908" s="203" t="str">
        <f t="shared" si="26"/>
        <v/>
      </c>
    </row>
    <row r="909" spans="1:6" ht="14.1" customHeight="1">
      <c r="A909" s="14">
        <f t="shared" si="27"/>
        <v>905</v>
      </c>
      <c r="B909" s="18"/>
      <c r="C909" s="16" t="s">
        <v>1679</v>
      </c>
      <c r="D909" s="19"/>
      <c r="E909" s="19"/>
      <c r="F909" s="203" t="str">
        <f t="shared" si="26"/>
        <v/>
      </c>
    </row>
    <row r="910" spans="1:6" ht="14.1" customHeight="1">
      <c r="A910" s="14">
        <f t="shared" si="27"/>
        <v>906</v>
      </c>
      <c r="B910" s="18"/>
      <c r="C910" s="16" t="s">
        <v>1679</v>
      </c>
      <c r="D910" s="19"/>
      <c r="E910" s="19"/>
      <c r="F910" s="203" t="str">
        <f t="shared" si="26"/>
        <v/>
      </c>
    </row>
    <row r="911" spans="1:6" ht="14.1" customHeight="1">
      <c r="A911" s="14">
        <f t="shared" si="27"/>
        <v>907</v>
      </c>
      <c r="B911" s="18"/>
      <c r="C911" s="16" t="s">
        <v>1679</v>
      </c>
      <c r="D911" s="19"/>
      <c r="E911" s="19"/>
      <c r="F911" s="203" t="str">
        <f t="shared" si="26"/>
        <v/>
      </c>
    </row>
    <row r="912" spans="1:6" ht="14.1" customHeight="1">
      <c r="A912" s="14">
        <f t="shared" si="27"/>
        <v>908</v>
      </c>
      <c r="B912" s="18"/>
      <c r="C912" s="16" t="s">
        <v>1679</v>
      </c>
      <c r="D912" s="19"/>
      <c r="E912" s="19"/>
      <c r="F912" s="203" t="str">
        <f t="shared" si="26"/>
        <v/>
      </c>
    </row>
    <row r="913" spans="1:6" ht="14.1" customHeight="1">
      <c r="A913" s="14">
        <f t="shared" si="27"/>
        <v>909</v>
      </c>
      <c r="B913" s="18"/>
      <c r="C913" s="16" t="s">
        <v>1679</v>
      </c>
      <c r="D913" s="19"/>
      <c r="E913" s="19"/>
      <c r="F913" s="203" t="str">
        <f t="shared" si="26"/>
        <v/>
      </c>
    </row>
    <row r="914" spans="1:6" ht="14.1" customHeight="1">
      <c r="A914" s="14">
        <f t="shared" si="27"/>
        <v>910</v>
      </c>
      <c r="B914" s="18"/>
      <c r="C914" s="16" t="s">
        <v>1679</v>
      </c>
      <c r="D914" s="19"/>
      <c r="E914" s="19"/>
      <c r="F914" s="203" t="str">
        <f t="shared" si="26"/>
        <v/>
      </c>
    </row>
    <row r="915" spans="1:6" ht="14.1" customHeight="1">
      <c r="A915" s="14">
        <f t="shared" si="27"/>
        <v>911</v>
      </c>
      <c r="B915" s="18"/>
      <c r="C915" s="16" t="s">
        <v>1679</v>
      </c>
      <c r="D915" s="19"/>
      <c r="E915" s="19"/>
      <c r="F915" s="203" t="str">
        <f t="shared" si="26"/>
        <v/>
      </c>
    </row>
    <row r="916" spans="1:6" ht="14.1" customHeight="1">
      <c r="A916" s="14">
        <f t="shared" si="27"/>
        <v>912</v>
      </c>
      <c r="B916" s="18"/>
      <c r="C916" s="16" t="s">
        <v>1679</v>
      </c>
      <c r="D916" s="19"/>
      <c r="E916" s="19"/>
      <c r="F916" s="203" t="str">
        <f t="shared" si="26"/>
        <v/>
      </c>
    </row>
    <row r="917" spans="1:6" ht="14.1" customHeight="1">
      <c r="A917" s="14">
        <f t="shared" si="27"/>
        <v>913</v>
      </c>
      <c r="B917" s="18"/>
      <c r="C917" s="16" t="s">
        <v>1679</v>
      </c>
      <c r="D917" s="19"/>
      <c r="E917" s="19"/>
      <c r="F917" s="203" t="str">
        <f t="shared" si="26"/>
        <v/>
      </c>
    </row>
    <row r="918" spans="1:6" ht="14.1" customHeight="1">
      <c r="A918" s="14">
        <f t="shared" si="27"/>
        <v>914</v>
      </c>
      <c r="B918" s="18"/>
      <c r="C918" s="16" t="s">
        <v>1679</v>
      </c>
      <c r="D918" s="19"/>
      <c r="E918" s="19"/>
      <c r="F918" s="203" t="str">
        <f t="shared" si="26"/>
        <v/>
      </c>
    </row>
    <row r="919" spans="1:6" ht="14.1" customHeight="1">
      <c r="A919" s="14">
        <f t="shared" si="27"/>
        <v>915</v>
      </c>
      <c r="B919" s="18"/>
      <c r="C919" s="16" t="s">
        <v>1679</v>
      </c>
      <c r="D919" s="19"/>
      <c r="E919" s="19"/>
      <c r="F919" s="203" t="str">
        <f t="shared" si="26"/>
        <v/>
      </c>
    </row>
    <row r="920" spans="1:6" ht="14.1" customHeight="1">
      <c r="A920" s="14">
        <f t="shared" si="27"/>
        <v>916</v>
      </c>
      <c r="B920" s="18"/>
      <c r="C920" s="16" t="s">
        <v>1679</v>
      </c>
      <c r="D920" s="19"/>
      <c r="E920" s="19"/>
      <c r="F920" s="203" t="str">
        <f t="shared" si="26"/>
        <v/>
      </c>
    </row>
    <row r="921" spans="1:6" ht="14.1" customHeight="1">
      <c r="A921" s="14">
        <f t="shared" si="27"/>
        <v>917</v>
      </c>
      <c r="B921" s="18"/>
      <c r="C921" s="16" t="s">
        <v>1679</v>
      </c>
      <c r="D921" s="19"/>
      <c r="E921" s="19"/>
      <c r="F921" s="203" t="str">
        <f t="shared" si="26"/>
        <v/>
      </c>
    </row>
    <row r="922" spans="1:6" ht="14.1" customHeight="1">
      <c r="A922" s="14">
        <f t="shared" si="27"/>
        <v>918</v>
      </c>
      <c r="B922" s="18"/>
      <c r="C922" s="16" t="s">
        <v>1679</v>
      </c>
      <c r="D922" s="19"/>
      <c r="E922" s="19"/>
      <c r="F922" s="203" t="str">
        <f t="shared" si="26"/>
        <v/>
      </c>
    </row>
    <row r="923" spans="1:6" ht="14.1" customHeight="1">
      <c r="A923" s="14">
        <f t="shared" si="27"/>
        <v>919</v>
      </c>
      <c r="B923" s="18"/>
      <c r="C923" s="16" t="s">
        <v>1679</v>
      </c>
      <c r="D923" s="19"/>
      <c r="E923" s="19"/>
      <c r="F923" s="203" t="str">
        <f t="shared" si="26"/>
        <v/>
      </c>
    </row>
    <row r="924" spans="1:6" ht="14.1" customHeight="1">
      <c r="A924" s="14">
        <f t="shared" si="27"/>
        <v>920</v>
      </c>
      <c r="B924" s="18"/>
      <c r="C924" s="16" t="s">
        <v>1679</v>
      </c>
      <c r="D924" s="19"/>
      <c r="E924" s="19"/>
      <c r="F924" s="203" t="str">
        <f t="shared" si="26"/>
        <v/>
      </c>
    </row>
    <row r="925" spans="1:6" ht="14.1" customHeight="1">
      <c r="A925" s="14">
        <f t="shared" si="27"/>
        <v>921</v>
      </c>
      <c r="B925" s="18"/>
      <c r="C925" s="16" t="s">
        <v>1679</v>
      </c>
      <c r="D925" s="19"/>
      <c r="E925" s="19"/>
      <c r="F925" s="203" t="str">
        <f t="shared" si="26"/>
        <v/>
      </c>
    </row>
    <row r="926" spans="1:6" ht="14.1" customHeight="1">
      <c r="A926" s="14">
        <f t="shared" si="27"/>
        <v>922</v>
      </c>
      <c r="B926" s="18"/>
      <c r="C926" s="16" t="s">
        <v>1679</v>
      </c>
      <c r="D926" s="19"/>
      <c r="E926" s="19"/>
      <c r="F926" s="203" t="str">
        <f t="shared" si="26"/>
        <v/>
      </c>
    </row>
    <row r="927" spans="1:6" ht="14.1" customHeight="1">
      <c r="A927" s="14">
        <f t="shared" si="27"/>
        <v>923</v>
      </c>
      <c r="B927" s="18"/>
      <c r="C927" s="16" t="s">
        <v>1679</v>
      </c>
      <c r="D927" s="19"/>
      <c r="E927" s="19"/>
      <c r="F927" s="203" t="str">
        <f t="shared" si="26"/>
        <v/>
      </c>
    </row>
    <row r="928" spans="1:6" ht="14.1" customHeight="1">
      <c r="A928" s="14">
        <f t="shared" si="27"/>
        <v>924</v>
      </c>
      <c r="B928" s="18"/>
      <c r="C928" s="16" t="s">
        <v>1679</v>
      </c>
      <c r="D928" s="19"/>
      <c r="E928" s="19"/>
      <c r="F928" s="203" t="str">
        <f t="shared" si="26"/>
        <v/>
      </c>
    </row>
    <row r="929" spans="1:6" ht="14.1" customHeight="1">
      <c r="A929" s="14">
        <f t="shared" si="27"/>
        <v>925</v>
      </c>
      <c r="B929" s="18"/>
      <c r="C929" s="16" t="s">
        <v>1679</v>
      </c>
      <c r="D929" s="19"/>
      <c r="E929" s="19"/>
      <c r="F929" s="203" t="str">
        <f t="shared" si="26"/>
        <v/>
      </c>
    </row>
    <row r="930" spans="1:6" ht="14.1" customHeight="1">
      <c r="A930" s="14">
        <f t="shared" si="27"/>
        <v>926</v>
      </c>
      <c r="B930" s="18"/>
      <c r="C930" s="16" t="s">
        <v>1679</v>
      </c>
      <c r="D930" s="19"/>
      <c r="E930" s="19"/>
      <c r="F930" s="203" t="str">
        <f t="shared" si="26"/>
        <v/>
      </c>
    </row>
    <row r="931" spans="1:6" ht="14.1" customHeight="1">
      <c r="A931" s="14">
        <f t="shared" si="27"/>
        <v>927</v>
      </c>
      <c r="B931" s="18"/>
      <c r="C931" s="16" t="s">
        <v>1679</v>
      </c>
      <c r="D931" s="19"/>
      <c r="E931" s="19"/>
      <c r="F931" s="203" t="str">
        <f t="shared" si="26"/>
        <v/>
      </c>
    </row>
    <row r="932" spans="1:6" ht="14.1" customHeight="1">
      <c r="A932" s="14">
        <f t="shared" si="27"/>
        <v>928</v>
      </c>
      <c r="B932" s="18"/>
      <c r="C932" s="16" t="s">
        <v>1679</v>
      </c>
      <c r="D932" s="19"/>
      <c r="E932" s="19"/>
      <c r="F932" s="203" t="str">
        <f t="shared" si="26"/>
        <v/>
      </c>
    </row>
    <row r="933" spans="1:6" ht="14.1" customHeight="1">
      <c r="A933" s="14">
        <f t="shared" si="27"/>
        <v>929</v>
      </c>
      <c r="B933" s="18"/>
      <c r="C933" s="16" t="s">
        <v>1679</v>
      </c>
      <c r="D933" s="19"/>
      <c r="E933" s="19"/>
      <c r="F933" s="203" t="str">
        <f t="shared" si="26"/>
        <v/>
      </c>
    </row>
    <row r="934" spans="1:6" ht="14.1" customHeight="1">
      <c r="A934" s="14">
        <f t="shared" si="27"/>
        <v>930</v>
      </c>
      <c r="B934" s="18"/>
      <c r="C934" s="16" t="s">
        <v>1679</v>
      </c>
      <c r="D934" s="19"/>
      <c r="E934" s="19"/>
      <c r="F934" s="203" t="str">
        <f t="shared" si="26"/>
        <v/>
      </c>
    </row>
    <row r="935" spans="1:6" ht="14.1" customHeight="1">
      <c r="A935" s="14">
        <f t="shared" si="27"/>
        <v>931</v>
      </c>
      <c r="B935" s="18"/>
      <c r="C935" s="16" t="s">
        <v>1679</v>
      </c>
      <c r="D935" s="19"/>
      <c r="E935" s="19"/>
      <c r="F935" s="203" t="str">
        <f t="shared" si="26"/>
        <v/>
      </c>
    </row>
    <row r="936" spans="1:6" ht="14.1" customHeight="1">
      <c r="A936" s="14">
        <f t="shared" si="27"/>
        <v>932</v>
      </c>
      <c r="B936" s="18"/>
      <c r="C936" s="16" t="s">
        <v>1679</v>
      </c>
      <c r="D936" s="19"/>
      <c r="E936" s="19"/>
      <c r="F936" s="203" t="str">
        <f t="shared" si="26"/>
        <v/>
      </c>
    </row>
    <row r="937" spans="1:6" ht="14.1" customHeight="1">
      <c r="A937" s="14">
        <f t="shared" si="27"/>
        <v>933</v>
      </c>
      <c r="B937" s="18"/>
      <c r="C937" s="16" t="s">
        <v>1679</v>
      </c>
      <c r="D937" s="19"/>
      <c r="E937" s="19"/>
      <c r="F937" s="203" t="str">
        <f t="shared" si="26"/>
        <v/>
      </c>
    </row>
    <row r="938" spans="1:6" ht="14.1" customHeight="1">
      <c r="A938" s="14">
        <f t="shared" si="27"/>
        <v>934</v>
      </c>
      <c r="B938" s="18"/>
      <c r="C938" s="16" t="s">
        <v>1679</v>
      </c>
      <c r="D938" s="19"/>
      <c r="E938" s="19"/>
      <c r="F938" s="203" t="str">
        <f t="shared" ref="F938:F1001" si="28">IF(AND(B939&lt;&gt;"",B938=""),"Don't skip lines",IF(AND(D938="",B938&lt;&gt;""),"Enter U-value",IF(AND(D938&lt;&gt;"",B938=""),"Enter Description","")))</f>
        <v/>
      </c>
    </row>
    <row r="939" spans="1:6" ht="14.1" customHeight="1">
      <c r="A939" s="14">
        <f t="shared" si="27"/>
        <v>935</v>
      </c>
      <c r="B939" s="18"/>
      <c r="C939" s="16" t="s">
        <v>1679</v>
      </c>
      <c r="D939" s="19"/>
      <c r="E939" s="19"/>
      <c r="F939" s="203" t="str">
        <f t="shared" si="28"/>
        <v/>
      </c>
    </row>
    <row r="940" spans="1:6" ht="14.1" customHeight="1">
      <c r="A940" s="14">
        <f t="shared" si="27"/>
        <v>936</v>
      </c>
      <c r="B940" s="18"/>
      <c r="C940" s="16" t="s">
        <v>1679</v>
      </c>
      <c r="D940" s="19"/>
      <c r="E940" s="19"/>
      <c r="F940" s="203" t="str">
        <f t="shared" si="28"/>
        <v/>
      </c>
    </row>
    <row r="941" spans="1:6" ht="14.1" customHeight="1">
      <c r="A941" s="14">
        <f t="shared" si="27"/>
        <v>937</v>
      </c>
      <c r="B941" s="18"/>
      <c r="C941" s="16" t="s">
        <v>1679</v>
      </c>
      <c r="D941" s="19"/>
      <c r="E941" s="19"/>
      <c r="F941" s="203" t="str">
        <f t="shared" si="28"/>
        <v/>
      </c>
    </row>
    <row r="942" spans="1:6" ht="14.1" customHeight="1">
      <c r="A942" s="14">
        <f t="shared" si="27"/>
        <v>938</v>
      </c>
      <c r="B942" s="18"/>
      <c r="C942" s="16" t="s">
        <v>1679</v>
      </c>
      <c r="D942" s="19"/>
      <c r="E942" s="19"/>
      <c r="F942" s="203" t="str">
        <f t="shared" si="28"/>
        <v/>
      </c>
    </row>
    <row r="943" spans="1:6" ht="14.1" customHeight="1">
      <c r="A943" s="14">
        <f t="shared" si="27"/>
        <v>939</v>
      </c>
      <c r="B943" s="18"/>
      <c r="C943" s="16" t="s">
        <v>1679</v>
      </c>
      <c r="D943" s="19"/>
      <c r="E943" s="19"/>
      <c r="F943" s="203" t="str">
        <f t="shared" si="28"/>
        <v/>
      </c>
    </row>
    <row r="944" spans="1:6" ht="14.1" customHeight="1">
      <c r="A944" s="14">
        <f t="shared" si="27"/>
        <v>940</v>
      </c>
      <c r="B944" s="18"/>
      <c r="C944" s="16" t="s">
        <v>1679</v>
      </c>
      <c r="D944" s="19"/>
      <c r="E944" s="19"/>
      <c r="F944" s="203" t="str">
        <f t="shared" si="28"/>
        <v/>
      </c>
    </row>
    <row r="945" spans="1:6" ht="14.1" customHeight="1">
      <c r="A945" s="14">
        <f t="shared" si="27"/>
        <v>941</v>
      </c>
      <c r="B945" s="18"/>
      <c r="C945" s="16" t="s">
        <v>1679</v>
      </c>
      <c r="D945" s="19"/>
      <c r="E945" s="19"/>
      <c r="F945" s="203" t="str">
        <f t="shared" si="28"/>
        <v/>
      </c>
    </row>
    <row r="946" spans="1:6" ht="14.1" customHeight="1">
      <c r="A946" s="14">
        <f t="shared" si="27"/>
        <v>942</v>
      </c>
      <c r="B946" s="18"/>
      <c r="C946" s="16" t="s">
        <v>1679</v>
      </c>
      <c r="D946" s="19"/>
      <c r="E946" s="19"/>
      <c r="F946" s="203" t="str">
        <f t="shared" si="28"/>
        <v/>
      </c>
    </row>
    <row r="947" spans="1:6" ht="14.1" customHeight="1">
      <c r="A947" s="14">
        <f t="shared" si="27"/>
        <v>943</v>
      </c>
      <c r="B947" s="18"/>
      <c r="C947" s="16" t="s">
        <v>1679</v>
      </c>
      <c r="D947" s="19"/>
      <c r="E947" s="19"/>
      <c r="F947" s="203" t="str">
        <f t="shared" si="28"/>
        <v/>
      </c>
    </row>
    <row r="948" spans="1:6" ht="14.1" customHeight="1">
      <c r="A948" s="14">
        <f t="shared" si="27"/>
        <v>944</v>
      </c>
      <c r="B948" s="18"/>
      <c r="C948" s="16" t="s">
        <v>1679</v>
      </c>
      <c r="D948" s="19"/>
      <c r="E948" s="19"/>
      <c r="F948" s="203" t="str">
        <f t="shared" si="28"/>
        <v/>
      </c>
    </row>
    <row r="949" spans="1:6" ht="14.1" customHeight="1">
      <c r="A949" s="14">
        <f t="shared" si="27"/>
        <v>945</v>
      </c>
      <c r="B949" s="18"/>
      <c r="C949" s="16" t="s">
        <v>1679</v>
      </c>
      <c r="D949" s="19"/>
      <c r="E949" s="19"/>
      <c r="F949" s="203" t="str">
        <f t="shared" si="28"/>
        <v/>
      </c>
    </row>
    <row r="950" spans="1:6" ht="14.1" customHeight="1">
      <c r="A950" s="14">
        <f t="shared" si="27"/>
        <v>946</v>
      </c>
      <c r="B950" s="18"/>
      <c r="C950" s="16" t="s">
        <v>1679</v>
      </c>
      <c r="D950" s="19"/>
      <c r="E950" s="19"/>
      <c r="F950" s="203" t="str">
        <f t="shared" si="28"/>
        <v/>
      </c>
    </row>
    <row r="951" spans="1:6" ht="14.1" customHeight="1">
      <c r="A951" s="14">
        <f t="shared" si="27"/>
        <v>947</v>
      </c>
      <c r="B951" s="18"/>
      <c r="C951" s="16" t="s">
        <v>1679</v>
      </c>
      <c r="D951" s="19"/>
      <c r="E951" s="19"/>
      <c r="F951" s="203" t="str">
        <f t="shared" si="28"/>
        <v/>
      </c>
    </row>
    <row r="952" spans="1:6" ht="14.1" customHeight="1">
      <c r="A952" s="14">
        <f t="shared" si="27"/>
        <v>948</v>
      </c>
      <c r="B952" s="18"/>
      <c r="C952" s="16" t="s">
        <v>1679</v>
      </c>
      <c r="D952" s="19"/>
      <c r="E952" s="19"/>
      <c r="F952" s="203" t="str">
        <f t="shared" si="28"/>
        <v/>
      </c>
    </row>
    <row r="953" spans="1:6" ht="14.1" customHeight="1">
      <c r="A953" s="14">
        <f t="shared" si="27"/>
        <v>949</v>
      </c>
      <c r="B953" s="18"/>
      <c r="C953" s="16" t="s">
        <v>1679</v>
      </c>
      <c r="D953" s="19"/>
      <c r="E953" s="19"/>
      <c r="F953" s="203" t="str">
        <f t="shared" si="28"/>
        <v/>
      </c>
    </row>
    <row r="954" spans="1:6" ht="14.1" customHeight="1">
      <c r="A954" s="14">
        <f t="shared" si="27"/>
        <v>950</v>
      </c>
      <c r="B954" s="18"/>
      <c r="C954" s="16" t="s">
        <v>1679</v>
      </c>
      <c r="D954" s="19"/>
      <c r="E954" s="19"/>
      <c r="F954" s="203" t="str">
        <f t="shared" si="28"/>
        <v/>
      </c>
    </row>
    <row r="955" spans="1:6" ht="14.1" customHeight="1">
      <c r="A955" s="14">
        <f t="shared" si="27"/>
        <v>951</v>
      </c>
      <c r="B955" s="18"/>
      <c r="C955" s="16" t="s">
        <v>1679</v>
      </c>
      <c r="D955" s="19"/>
      <c r="E955" s="19"/>
      <c r="F955" s="203" t="str">
        <f t="shared" si="28"/>
        <v/>
      </c>
    </row>
    <row r="956" spans="1:6" ht="14.1" customHeight="1">
      <c r="A956" s="14">
        <f t="shared" si="27"/>
        <v>952</v>
      </c>
      <c r="B956" s="18"/>
      <c r="C956" s="16" t="s">
        <v>1679</v>
      </c>
      <c r="D956" s="19"/>
      <c r="E956" s="19"/>
      <c r="F956" s="203" t="str">
        <f t="shared" si="28"/>
        <v/>
      </c>
    </row>
    <row r="957" spans="1:6" ht="14.1" customHeight="1">
      <c r="A957" s="14">
        <f t="shared" si="27"/>
        <v>953</v>
      </c>
      <c r="B957" s="18"/>
      <c r="C957" s="16" t="s">
        <v>1679</v>
      </c>
      <c r="D957" s="19"/>
      <c r="E957" s="19"/>
      <c r="F957" s="203" t="str">
        <f t="shared" si="28"/>
        <v/>
      </c>
    </row>
    <row r="958" spans="1:6" ht="14.1" customHeight="1">
      <c r="A958" s="14">
        <f t="shared" si="27"/>
        <v>954</v>
      </c>
      <c r="B958" s="18"/>
      <c r="C958" s="16" t="s">
        <v>1679</v>
      </c>
      <c r="D958" s="19"/>
      <c r="E958" s="19"/>
      <c r="F958" s="203" t="str">
        <f t="shared" si="28"/>
        <v/>
      </c>
    </row>
    <row r="959" spans="1:6" ht="14.1" customHeight="1">
      <c r="A959" s="14">
        <f t="shared" si="27"/>
        <v>955</v>
      </c>
      <c r="B959" s="18"/>
      <c r="C959" s="16" t="s">
        <v>1679</v>
      </c>
      <c r="D959" s="19"/>
      <c r="E959" s="19"/>
      <c r="F959" s="203" t="str">
        <f t="shared" si="28"/>
        <v/>
      </c>
    </row>
    <row r="960" spans="1:6" ht="14.1" customHeight="1">
      <c r="A960" s="14">
        <f t="shared" si="27"/>
        <v>956</v>
      </c>
      <c r="B960" s="18"/>
      <c r="C960" s="16" t="s">
        <v>1679</v>
      </c>
      <c r="D960" s="19"/>
      <c r="E960" s="19"/>
      <c r="F960" s="203" t="str">
        <f t="shared" si="28"/>
        <v/>
      </c>
    </row>
    <row r="961" spans="1:6" ht="14.1" customHeight="1">
      <c r="A961" s="14">
        <f t="shared" si="27"/>
        <v>957</v>
      </c>
      <c r="B961" s="18"/>
      <c r="C961" s="16" t="s">
        <v>1679</v>
      </c>
      <c r="D961" s="19"/>
      <c r="E961" s="19"/>
      <c r="F961" s="203" t="str">
        <f t="shared" si="28"/>
        <v/>
      </c>
    </row>
    <row r="962" spans="1:6" ht="14.1" customHeight="1">
      <c r="A962" s="14">
        <f t="shared" si="27"/>
        <v>958</v>
      </c>
      <c r="B962" s="18"/>
      <c r="C962" s="16" t="s">
        <v>1679</v>
      </c>
      <c r="D962" s="19"/>
      <c r="E962" s="19"/>
      <c r="F962" s="203" t="str">
        <f t="shared" si="28"/>
        <v/>
      </c>
    </row>
    <row r="963" spans="1:6" ht="14.1" customHeight="1">
      <c r="A963" s="14">
        <f t="shared" ref="A963:A1026" si="29">A962+1</f>
        <v>959</v>
      </c>
      <c r="B963" s="18"/>
      <c r="C963" s="16" t="s">
        <v>1679</v>
      </c>
      <c r="D963" s="19"/>
      <c r="E963" s="19"/>
      <c r="F963" s="203" t="str">
        <f t="shared" si="28"/>
        <v/>
      </c>
    </row>
    <row r="964" spans="1:6" ht="14.1" customHeight="1">
      <c r="A964" s="14">
        <f t="shared" si="29"/>
        <v>960</v>
      </c>
      <c r="B964" s="18"/>
      <c r="C964" s="16" t="s">
        <v>1679</v>
      </c>
      <c r="D964" s="19"/>
      <c r="E964" s="19"/>
      <c r="F964" s="203" t="str">
        <f t="shared" si="28"/>
        <v/>
      </c>
    </row>
    <row r="965" spans="1:6" ht="14.1" customHeight="1">
      <c r="A965" s="14">
        <f t="shared" si="29"/>
        <v>961</v>
      </c>
      <c r="B965" s="18"/>
      <c r="C965" s="16" t="s">
        <v>1679</v>
      </c>
      <c r="D965" s="19"/>
      <c r="E965" s="19"/>
      <c r="F965" s="203" t="str">
        <f t="shared" si="28"/>
        <v/>
      </c>
    </row>
    <row r="966" spans="1:6" ht="14.1" customHeight="1">
      <c r="A966" s="14">
        <f t="shared" si="29"/>
        <v>962</v>
      </c>
      <c r="B966" s="18"/>
      <c r="C966" s="16" t="s">
        <v>1679</v>
      </c>
      <c r="D966" s="19"/>
      <c r="E966" s="19"/>
      <c r="F966" s="203" t="str">
        <f t="shared" si="28"/>
        <v/>
      </c>
    </row>
    <row r="967" spans="1:6" ht="14.1" customHeight="1">
      <c r="A967" s="14">
        <f t="shared" si="29"/>
        <v>963</v>
      </c>
      <c r="B967" s="18"/>
      <c r="C967" s="16" t="s">
        <v>1679</v>
      </c>
      <c r="D967" s="19"/>
      <c r="E967" s="19"/>
      <c r="F967" s="203" t="str">
        <f t="shared" si="28"/>
        <v/>
      </c>
    </row>
    <row r="968" spans="1:6" ht="14.1" customHeight="1">
      <c r="A968" s="14">
        <f t="shared" si="29"/>
        <v>964</v>
      </c>
      <c r="B968" s="18"/>
      <c r="C968" s="16" t="s">
        <v>1679</v>
      </c>
      <c r="D968" s="19"/>
      <c r="E968" s="19"/>
      <c r="F968" s="203" t="str">
        <f t="shared" si="28"/>
        <v/>
      </c>
    </row>
    <row r="969" spans="1:6" ht="14.1" customHeight="1">
      <c r="A969" s="14">
        <f t="shared" si="29"/>
        <v>965</v>
      </c>
      <c r="B969" s="18"/>
      <c r="C969" s="16" t="s">
        <v>1679</v>
      </c>
      <c r="D969" s="19"/>
      <c r="E969" s="19"/>
      <c r="F969" s="203" t="str">
        <f t="shared" si="28"/>
        <v/>
      </c>
    </row>
    <row r="970" spans="1:6" ht="14.1" customHeight="1">
      <c r="A970" s="14">
        <f t="shared" si="29"/>
        <v>966</v>
      </c>
      <c r="B970" s="18"/>
      <c r="C970" s="16" t="s">
        <v>1679</v>
      </c>
      <c r="D970" s="19"/>
      <c r="E970" s="19"/>
      <c r="F970" s="203" t="str">
        <f t="shared" si="28"/>
        <v/>
      </c>
    </row>
    <row r="971" spans="1:6" ht="14.1" customHeight="1">
      <c r="A971" s="14">
        <f t="shared" si="29"/>
        <v>967</v>
      </c>
      <c r="B971" s="18"/>
      <c r="C971" s="16" t="s">
        <v>1679</v>
      </c>
      <c r="D971" s="19"/>
      <c r="E971" s="19"/>
      <c r="F971" s="203" t="str">
        <f t="shared" si="28"/>
        <v/>
      </c>
    </row>
    <row r="972" spans="1:6" ht="14.1" customHeight="1">
      <c r="A972" s="14">
        <f t="shared" si="29"/>
        <v>968</v>
      </c>
      <c r="B972" s="18"/>
      <c r="C972" s="16" t="s">
        <v>1679</v>
      </c>
      <c r="D972" s="19"/>
      <c r="E972" s="19"/>
      <c r="F972" s="203" t="str">
        <f t="shared" si="28"/>
        <v/>
      </c>
    </row>
    <row r="973" spans="1:6" ht="14.1" customHeight="1">
      <c r="A973" s="14">
        <f t="shared" si="29"/>
        <v>969</v>
      </c>
      <c r="B973" s="18"/>
      <c r="C973" s="16" t="s">
        <v>1679</v>
      </c>
      <c r="D973" s="19"/>
      <c r="E973" s="19"/>
      <c r="F973" s="203" t="str">
        <f t="shared" si="28"/>
        <v/>
      </c>
    </row>
    <row r="974" spans="1:6" ht="14.1" customHeight="1">
      <c r="A974" s="14">
        <f t="shared" si="29"/>
        <v>970</v>
      </c>
      <c r="B974" s="18"/>
      <c r="C974" s="16" t="s">
        <v>1679</v>
      </c>
      <c r="D974" s="19"/>
      <c r="E974" s="19"/>
      <c r="F974" s="203" t="str">
        <f t="shared" si="28"/>
        <v/>
      </c>
    </row>
    <row r="975" spans="1:6" ht="14.1" customHeight="1">
      <c r="A975" s="14">
        <f t="shared" si="29"/>
        <v>971</v>
      </c>
      <c r="B975" s="18"/>
      <c r="C975" s="16" t="s">
        <v>1679</v>
      </c>
      <c r="D975" s="19"/>
      <c r="E975" s="19"/>
      <c r="F975" s="203" t="str">
        <f t="shared" si="28"/>
        <v/>
      </c>
    </row>
    <row r="976" spans="1:6" ht="14.1" customHeight="1">
      <c r="A976" s="14">
        <f t="shared" si="29"/>
        <v>972</v>
      </c>
      <c r="B976" s="18"/>
      <c r="C976" s="16" t="s">
        <v>1679</v>
      </c>
      <c r="D976" s="19"/>
      <c r="E976" s="19"/>
      <c r="F976" s="203" t="str">
        <f t="shared" si="28"/>
        <v/>
      </c>
    </row>
    <row r="977" spans="1:6" ht="14.1" customHeight="1">
      <c r="A977" s="14">
        <f t="shared" si="29"/>
        <v>973</v>
      </c>
      <c r="B977" s="18"/>
      <c r="C977" s="16" t="s">
        <v>1679</v>
      </c>
      <c r="D977" s="19"/>
      <c r="E977" s="19"/>
      <c r="F977" s="203" t="str">
        <f t="shared" si="28"/>
        <v/>
      </c>
    </row>
    <row r="978" spans="1:6" ht="14.1" customHeight="1">
      <c r="A978" s="14">
        <f t="shared" si="29"/>
        <v>974</v>
      </c>
      <c r="B978" s="18"/>
      <c r="C978" s="16" t="s">
        <v>1679</v>
      </c>
      <c r="D978" s="19"/>
      <c r="E978" s="19"/>
      <c r="F978" s="203" t="str">
        <f t="shared" si="28"/>
        <v/>
      </c>
    </row>
    <row r="979" spans="1:6" ht="14.1" customHeight="1">
      <c r="A979" s="14">
        <f t="shared" si="29"/>
        <v>975</v>
      </c>
      <c r="B979" s="18"/>
      <c r="C979" s="16" t="s">
        <v>1679</v>
      </c>
      <c r="D979" s="19"/>
      <c r="E979" s="19"/>
      <c r="F979" s="203" t="str">
        <f t="shared" si="28"/>
        <v/>
      </c>
    </row>
    <row r="980" spans="1:6" ht="14.1" customHeight="1">
      <c r="A980" s="14">
        <f t="shared" si="29"/>
        <v>976</v>
      </c>
      <c r="B980" s="18"/>
      <c r="C980" s="16" t="s">
        <v>1679</v>
      </c>
      <c r="D980" s="19"/>
      <c r="E980" s="19"/>
      <c r="F980" s="203" t="str">
        <f t="shared" si="28"/>
        <v/>
      </c>
    </row>
    <row r="981" spans="1:6" ht="14.1" customHeight="1">
      <c r="A981" s="14">
        <f t="shared" si="29"/>
        <v>977</v>
      </c>
      <c r="B981" s="18"/>
      <c r="C981" s="16" t="s">
        <v>1679</v>
      </c>
      <c r="D981" s="19"/>
      <c r="E981" s="19"/>
      <c r="F981" s="203" t="str">
        <f t="shared" si="28"/>
        <v/>
      </c>
    </row>
    <row r="982" spans="1:6" ht="14.1" customHeight="1">
      <c r="A982" s="14">
        <f t="shared" si="29"/>
        <v>978</v>
      </c>
      <c r="B982" s="18"/>
      <c r="C982" s="16" t="s">
        <v>1679</v>
      </c>
      <c r="D982" s="19"/>
      <c r="E982" s="19"/>
      <c r="F982" s="203" t="str">
        <f t="shared" si="28"/>
        <v/>
      </c>
    </row>
    <row r="983" spans="1:6" ht="14.1" customHeight="1">
      <c r="A983" s="14">
        <f t="shared" si="29"/>
        <v>979</v>
      </c>
      <c r="B983" s="18"/>
      <c r="C983" s="16" t="s">
        <v>1679</v>
      </c>
      <c r="D983" s="19"/>
      <c r="E983" s="19"/>
      <c r="F983" s="203" t="str">
        <f t="shared" si="28"/>
        <v/>
      </c>
    </row>
    <row r="984" spans="1:6" ht="14.1" customHeight="1">
      <c r="A984" s="14">
        <f t="shared" si="29"/>
        <v>980</v>
      </c>
      <c r="B984" s="18"/>
      <c r="C984" s="16" t="s">
        <v>1679</v>
      </c>
      <c r="D984" s="19"/>
      <c r="E984" s="19"/>
      <c r="F984" s="203" t="str">
        <f t="shared" si="28"/>
        <v/>
      </c>
    </row>
    <row r="985" spans="1:6" ht="14.1" customHeight="1">
      <c r="A985" s="14">
        <f t="shared" si="29"/>
        <v>981</v>
      </c>
      <c r="B985" s="18"/>
      <c r="C985" s="16" t="s">
        <v>1679</v>
      </c>
      <c r="D985" s="19"/>
      <c r="E985" s="19"/>
      <c r="F985" s="203" t="str">
        <f t="shared" si="28"/>
        <v/>
      </c>
    </row>
    <row r="986" spans="1:6" ht="14.1" customHeight="1">
      <c r="A986" s="14">
        <f t="shared" si="29"/>
        <v>982</v>
      </c>
      <c r="B986" s="18"/>
      <c r="C986" s="16" t="s">
        <v>1679</v>
      </c>
      <c r="D986" s="19"/>
      <c r="E986" s="19"/>
      <c r="F986" s="203" t="str">
        <f t="shared" si="28"/>
        <v/>
      </c>
    </row>
    <row r="987" spans="1:6" ht="14.1" customHeight="1">
      <c r="A987" s="14">
        <f t="shared" si="29"/>
        <v>983</v>
      </c>
      <c r="B987" s="18"/>
      <c r="C987" s="16" t="s">
        <v>1679</v>
      </c>
      <c r="D987" s="19"/>
      <c r="E987" s="19"/>
      <c r="F987" s="203" t="str">
        <f t="shared" si="28"/>
        <v/>
      </c>
    </row>
    <row r="988" spans="1:6" ht="14.1" customHeight="1">
      <c r="A988" s="14">
        <f t="shared" si="29"/>
        <v>984</v>
      </c>
      <c r="B988" s="18"/>
      <c r="C988" s="16" t="s">
        <v>1679</v>
      </c>
      <c r="D988" s="19"/>
      <c r="E988" s="19"/>
      <c r="F988" s="203" t="str">
        <f t="shared" si="28"/>
        <v/>
      </c>
    </row>
    <row r="989" spans="1:6" ht="14.1" customHeight="1">
      <c r="A989" s="14">
        <f t="shared" si="29"/>
        <v>985</v>
      </c>
      <c r="B989" s="18"/>
      <c r="C989" s="16" t="s">
        <v>1679</v>
      </c>
      <c r="D989" s="19"/>
      <c r="E989" s="19"/>
      <c r="F989" s="203" t="str">
        <f t="shared" si="28"/>
        <v/>
      </c>
    </row>
    <row r="990" spans="1:6" ht="14.1" customHeight="1">
      <c r="A990" s="14">
        <f t="shared" si="29"/>
        <v>986</v>
      </c>
      <c r="B990" s="18"/>
      <c r="C990" s="16" t="s">
        <v>1679</v>
      </c>
      <c r="D990" s="19"/>
      <c r="E990" s="19"/>
      <c r="F990" s="203" t="str">
        <f t="shared" si="28"/>
        <v/>
      </c>
    </row>
    <row r="991" spans="1:6" ht="14.1" customHeight="1">
      <c r="A991" s="14">
        <f t="shared" si="29"/>
        <v>987</v>
      </c>
      <c r="B991" s="18"/>
      <c r="C991" s="16" t="s">
        <v>1679</v>
      </c>
      <c r="D991" s="19"/>
      <c r="E991" s="19"/>
      <c r="F991" s="203" t="str">
        <f t="shared" si="28"/>
        <v/>
      </c>
    </row>
    <row r="992" spans="1:6" ht="14.1" customHeight="1">
      <c r="A992" s="14">
        <f t="shared" si="29"/>
        <v>988</v>
      </c>
      <c r="B992" s="18"/>
      <c r="C992" s="16" t="s">
        <v>1679</v>
      </c>
      <c r="D992" s="19"/>
      <c r="E992" s="19"/>
      <c r="F992" s="203" t="str">
        <f t="shared" si="28"/>
        <v/>
      </c>
    </row>
    <row r="993" spans="1:6" ht="14.1" customHeight="1">
      <c r="A993" s="14">
        <f t="shared" si="29"/>
        <v>989</v>
      </c>
      <c r="B993" s="18"/>
      <c r="C993" s="16" t="s">
        <v>1679</v>
      </c>
      <c r="D993" s="19"/>
      <c r="E993" s="19"/>
      <c r="F993" s="203" t="str">
        <f t="shared" si="28"/>
        <v/>
      </c>
    </row>
    <row r="994" spans="1:6" ht="14.1" customHeight="1">
      <c r="A994" s="14">
        <f t="shared" si="29"/>
        <v>990</v>
      </c>
      <c r="B994" s="18"/>
      <c r="C994" s="16" t="s">
        <v>1679</v>
      </c>
      <c r="D994" s="19"/>
      <c r="E994" s="19"/>
      <c r="F994" s="203" t="str">
        <f t="shared" si="28"/>
        <v/>
      </c>
    </row>
    <row r="995" spans="1:6" ht="14.1" customHeight="1">
      <c r="A995" s="14">
        <f t="shared" si="29"/>
        <v>991</v>
      </c>
      <c r="B995" s="18"/>
      <c r="C995" s="16" t="s">
        <v>1679</v>
      </c>
      <c r="D995" s="19"/>
      <c r="E995" s="19"/>
      <c r="F995" s="203" t="str">
        <f t="shared" si="28"/>
        <v/>
      </c>
    </row>
    <row r="996" spans="1:6" ht="14.1" customHeight="1">
      <c r="A996" s="14">
        <f t="shared" si="29"/>
        <v>992</v>
      </c>
      <c r="B996" s="18"/>
      <c r="C996" s="16" t="s">
        <v>1679</v>
      </c>
      <c r="D996" s="19"/>
      <c r="E996" s="19"/>
      <c r="F996" s="203" t="str">
        <f t="shared" si="28"/>
        <v/>
      </c>
    </row>
    <row r="997" spans="1:6" ht="14.1" customHeight="1">
      <c r="A997" s="14">
        <f t="shared" si="29"/>
        <v>993</v>
      </c>
      <c r="B997" s="18"/>
      <c r="C997" s="16" t="s">
        <v>1679</v>
      </c>
      <c r="D997" s="19"/>
      <c r="E997" s="19"/>
      <c r="F997" s="203" t="str">
        <f t="shared" si="28"/>
        <v/>
      </c>
    </row>
    <row r="998" spans="1:6" ht="14.1" customHeight="1">
      <c r="A998" s="14">
        <f t="shared" si="29"/>
        <v>994</v>
      </c>
      <c r="B998" s="18"/>
      <c r="C998" s="16" t="s">
        <v>1679</v>
      </c>
      <c r="D998" s="19"/>
      <c r="E998" s="19"/>
      <c r="F998" s="203" t="str">
        <f t="shared" si="28"/>
        <v/>
      </c>
    </row>
    <row r="999" spans="1:6" ht="14.1" customHeight="1">
      <c r="A999" s="14">
        <f t="shared" si="29"/>
        <v>995</v>
      </c>
      <c r="B999" s="18"/>
      <c r="C999" s="16" t="s">
        <v>1679</v>
      </c>
      <c r="D999" s="19"/>
      <c r="E999" s="19"/>
      <c r="F999" s="203" t="str">
        <f t="shared" si="28"/>
        <v/>
      </c>
    </row>
    <row r="1000" spans="1:6" ht="14.1" customHeight="1">
      <c r="A1000" s="14">
        <f t="shared" si="29"/>
        <v>996</v>
      </c>
      <c r="B1000" s="18"/>
      <c r="C1000" s="16" t="s">
        <v>1679</v>
      </c>
      <c r="D1000" s="19"/>
      <c r="E1000" s="19"/>
      <c r="F1000" s="203" t="str">
        <f t="shared" si="28"/>
        <v/>
      </c>
    </row>
    <row r="1001" spans="1:6" ht="14.1" customHeight="1">
      <c r="A1001" s="14">
        <f t="shared" si="29"/>
        <v>997</v>
      </c>
      <c r="B1001" s="18"/>
      <c r="C1001" s="16" t="s">
        <v>1679</v>
      </c>
      <c r="D1001" s="19"/>
      <c r="E1001" s="19"/>
      <c r="F1001" s="203" t="str">
        <f t="shared" si="28"/>
        <v/>
      </c>
    </row>
    <row r="1002" spans="1:6" ht="14.1" customHeight="1">
      <c r="A1002" s="14">
        <f t="shared" si="29"/>
        <v>998</v>
      </c>
      <c r="B1002" s="18"/>
      <c r="C1002" s="16" t="s">
        <v>1679</v>
      </c>
      <c r="D1002" s="19"/>
      <c r="E1002" s="19"/>
      <c r="F1002" s="203" t="str">
        <f t="shared" ref="F1002:F1065" si="30">IF(AND(B1003&lt;&gt;"",B1002=""),"Don't skip lines",IF(AND(D1002="",B1002&lt;&gt;""),"Enter U-value",IF(AND(D1002&lt;&gt;"",B1002=""),"Enter Description","")))</f>
        <v/>
      </c>
    </row>
    <row r="1003" spans="1:6" ht="14.1" customHeight="1">
      <c r="A1003" s="14">
        <f t="shared" si="29"/>
        <v>999</v>
      </c>
      <c r="B1003" s="18"/>
      <c r="C1003" s="16" t="s">
        <v>1679</v>
      </c>
      <c r="D1003" s="19"/>
      <c r="E1003" s="19"/>
      <c r="F1003" s="203" t="str">
        <f t="shared" si="30"/>
        <v/>
      </c>
    </row>
    <row r="1004" spans="1:6" ht="14.1" customHeight="1">
      <c r="A1004" s="14">
        <f t="shared" si="29"/>
        <v>1000</v>
      </c>
      <c r="B1004" s="18"/>
      <c r="C1004" s="16" t="s">
        <v>1679</v>
      </c>
      <c r="D1004" s="19"/>
      <c r="E1004" s="19"/>
      <c r="F1004" s="203" t="str">
        <f t="shared" si="30"/>
        <v/>
      </c>
    </row>
    <row r="1005" spans="1:6" ht="14.1" customHeight="1">
      <c r="A1005" s="14">
        <f t="shared" si="29"/>
        <v>1001</v>
      </c>
      <c r="B1005" s="18"/>
      <c r="C1005" s="16" t="s">
        <v>1679</v>
      </c>
      <c r="D1005" s="19"/>
      <c r="E1005" s="19"/>
      <c r="F1005" s="203" t="str">
        <f t="shared" si="30"/>
        <v/>
      </c>
    </row>
    <row r="1006" spans="1:6" ht="14.1" customHeight="1">
      <c r="A1006" s="14">
        <f t="shared" si="29"/>
        <v>1002</v>
      </c>
      <c r="B1006" s="18"/>
      <c r="C1006" s="16" t="s">
        <v>1679</v>
      </c>
      <c r="D1006" s="19"/>
      <c r="E1006" s="19"/>
      <c r="F1006" s="203" t="str">
        <f t="shared" si="30"/>
        <v/>
      </c>
    </row>
    <row r="1007" spans="1:6" ht="14.1" customHeight="1">
      <c r="A1007" s="14">
        <f t="shared" si="29"/>
        <v>1003</v>
      </c>
      <c r="B1007" s="18"/>
      <c r="C1007" s="16" t="s">
        <v>1679</v>
      </c>
      <c r="D1007" s="19"/>
      <c r="E1007" s="19"/>
      <c r="F1007" s="203" t="str">
        <f t="shared" si="30"/>
        <v/>
      </c>
    </row>
    <row r="1008" spans="1:6" ht="14.1" customHeight="1">
      <c r="A1008" s="14">
        <f t="shared" si="29"/>
        <v>1004</v>
      </c>
      <c r="B1008" s="18"/>
      <c r="C1008" s="16" t="s">
        <v>1679</v>
      </c>
      <c r="D1008" s="19"/>
      <c r="E1008" s="19"/>
      <c r="F1008" s="203" t="str">
        <f t="shared" si="30"/>
        <v/>
      </c>
    </row>
    <row r="1009" spans="1:6" ht="14.1" customHeight="1">
      <c r="A1009" s="14">
        <f t="shared" si="29"/>
        <v>1005</v>
      </c>
      <c r="B1009" s="18"/>
      <c r="C1009" s="16" t="s">
        <v>1679</v>
      </c>
      <c r="D1009" s="19"/>
      <c r="E1009" s="19"/>
      <c r="F1009" s="203" t="str">
        <f t="shared" si="30"/>
        <v/>
      </c>
    </row>
    <row r="1010" spans="1:6" ht="14.1" customHeight="1">
      <c r="A1010" s="14">
        <f t="shared" si="29"/>
        <v>1006</v>
      </c>
      <c r="B1010" s="18"/>
      <c r="C1010" s="16" t="s">
        <v>1679</v>
      </c>
      <c r="D1010" s="19"/>
      <c r="E1010" s="19"/>
      <c r="F1010" s="203" t="str">
        <f t="shared" si="30"/>
        <v/>
      </c>
    </row>
    <row r="1011" spans="1:6" ht="14.1" customHeight="1">
      <c r="A1011" s="14">
        <f t="shared" si="29"/>
        <v>1007</v>
      </c>
      <c r="B1011" s="18"/>
      <c r="C1011" s="16" t="s">
        <v>1679</v>
      </c>
      <c r="D1011" s="19"/>
      <c r="E1011" s="19"/>
      <c r="F1011" s="203" t="str">
        <f t="shared" si="30"/>
        <v/>
      </c>
    </row>
    <row r="1012" spans="1:6" ht="14.1" customHeight="1">
      <c r="A1012" s="14">
        <f t="shared" si="29"/>
        <v>1008</v>
      </c>
      <c r="B1012" s="18"/>
      <c r="C1012" s="16" t="s">
        <v>1679</v>
      </c>
      <c r="D1012" s="19"/>
      <c r="E1012" s="19"/>
      <c r="F1012" s="203" t="str">
        <f t="shared" si="30"/>
        <v/>
      </c>
    </row>
    <row r="1013" spans="1:6" ht="14.1" customHeight="1">
      <c r="A1013" s="14">
        <f t="shared" si="29"/>
        <v>1009</v>
      </c>
      <c r="B1013" s="18"/>
      <c r="C1013" s="16" t="s">
        <v>1679</v>
      </c>
      <c r="D1013" s="19"/>
      <c r="E1013" s="19"/>
      <c r="F1013" s="203" t="str">
        <f t="shared" si="30"/>
        <v/>
      </c>
    </row>
    <row r="1014" spans="1:6" ht="14.1" customHeight="1">
      <c r="A1014" s="14">
        <f t="shared" si="29"/>
        <v>1010</v>
      </c>
      <c r="B1014" s="18"/>
      <c r="C1014" s="16" t="s">
        <v>1679</v>
      </c>
      <c r="D1014" s="19"/>
      <c r="E1014" s="19"/>
      <c r="F1014" s="203" t="str">
        <f t="shared" si="30"/>
        <v/>
      </c>
    </row>
    <row r="1015" spans="1:6" ht="14.1" customHeight="1">
      <c r="A1015" s="14">
        <f t="shared" si="29"/>
        <v>1011</v>
      </c>
      <c r="B1015" s="18"/>
      <c r="C1015" s="16" t="s">
        <v>1679</v>
      </c>
      <c r="D1015" s="19"/>
      <c r="E1015" s="19"/>
      <c r="F1015" s="203" t="str">
        <f t="shared" si="30"/>
        <v/>
      </c>
    </row>
    <row r="1016" spans="1:6" ht="14.1" customHeight="1">
      <c r="A1016" s="14">
        <f t="shared" si="29"/>
        <v>1012</v>
      </c>
      <c r="B1016" s="18"/>
      <c r="C1016" s="16" t="s">
        <v>1679</v>
      </c>
      <c r="D1016" s="19"/>
      <c r="E1016" s="19"/>
      <c r="F1016" s="203" t="str">
        <f t="shared" si="30"/>
        <v/>
      </c>
    </row>
    <row r="1017" spans="1:6" ht="14.1" customHeight="1">
      <c r="A1017" s="14">
        <f t="shared" si="29"/>
        <v>1013</v>
      </c>
      <c r="B1017" s="18"/>
      <c r="C1017" s="16" t="s">
        <v>1679</v>
      </c>
      <c r="D1017" s="19"/>
      <c r="E1017" s="19"/>
      <c r="F1017" s="203" t="str">
        <f t="shared" si="30"/>
        <v/>
      </c>
    </row>
    <row r="1018" spans="1:6" ht="14.1" customHeight="1">
      <c r="A1018" s="14">
        <f t="shared" si="29"/>
        <v>1014</v>
      </c>
      <c r="B1018" s="18"/>
      <c r="C1018" s="16" t="s">
        <v>1679</v>
      </c>
      <c r="D1018" s="19"/>
      <c r="E1018" s="19"/>
      <c r="F1018" s="203" t="str">
        <f t="shared" si="30"/>
        <v/>
      </c>
    </row>
    <row r="1019" spans="1:6" ht="14.1" customHeight="1">
      <c r="A1019" s="14">
        <f t="shared" si="29"/>
        <v>1015</v>
      </c>
      <c r="B1019" s="18"/>
      <c r="C1019" s="16" t="s">
        <v>1679</v>
      </c>
      <c r="D1019" s="19"/>
      <c r="E1019" s="19"/>
      <c r="F1019" s="203" t="str">
        <f t="shared" si="30"/>
        <v/>
      </c>
    </row>
    <row r="1020" spans="1:6" ht="14.1" customHeight="1">
      <c r="A1020" s="14">
        <f t="shared" si="29"/>
        <v>1016</v>
      </c>
      <c r="B1020" s="18"/>
      <c r="C1020" s="16" t="s">
        <v>1679</v>
      </c>
      <c r="D1020" s="19"/>
      <c r="E1020" s="19"/>
      <c r="F1020" s="203" t="str">
        <f t="shared" si="30"/>
        <v/>
      </c>
    </row>
    <row r="1021" spans="1:6" ht="14.1" customHeight="1">
      <c r="A1021" s="14">
        <f t="shared" si="29"/>
        <v>1017</v>
      </c>
      <c r="B1021" s="18"/>
      <c r="C1021" s="16" t="s">
        <v>1679</v>
      </c>
      <c r="D1021" s="19"/>
      <c r="E1021" s="19"/>
      <c r="F1021" s="203" t="str">
        <f t="shared" si="30"/>
        <v/>
      </c>
    </row>
    <row r="1022" spans="1:6" ht="14.1" customHeight="1">
      <c r="A1022" s="14">
        <f t="shared" si="29"/>
        <v>1018</v>
      </c>
      <c r="B1022" s="18"/>
      <c r="C1022" s="16" t="s">
        <v>1679</v>
      </c>
      <c r="D1022" s="19"/>
      <c r="E1022" s="19"/>
      <c r="F1022" s="203" t="str">
        <f t="shared" si="30"/>
        <v/>
      </c>
    </row>
    <row r="1023" spans="1:6" ht="14.1" customHeight="1">
      <c r="A1023" s="14">
        <f t="shared" si="29"/>
        <v>1019</v>
      </c>
      <c r="B1023" s="18"/>
      <c r="C1023" s="16" t="s">
        <v>1679</v>
      </c>
      <c r="D1023" s="19"/>
      <c r="E1023" s="19"/>
      <c r="F1023" s="203" t="str">
        <f t="shared" si="30"/>
        <v/>
      </c>
    </row>
    <row r="1024" spans="1:6" ht="14.1" customHeight="1">
      <c r="A1024" s="14">
        <f t="shared" si="29"/>
        <v>1020</v>
      </c>
      <c r="B1024" s="18"/>
      <c r="C1024" s="16" t="s">
        <v>1679</v>
      </c>
      <c r="D1024" s="19"/>
      <c r="E1024" s="19"/>
      <c r="F1024" s="203" t="str">
        <f t="shared" si="30"/>
        <v/>
      </c>
    </row>
    <row r="1025" spans="1:6" ht="14.1" customHeight="1">
      <c r="A1025" s="14">
        <f t="shared" si="29"/>
        <v>1021</v>
      </c>
      <c r="B1025" s="18"/>
      <c r="C1025" s="16" t="s">
        <v>1679</v>
      </c>
      <c r="D1025" s="19"/>
      <c r="E1025" s="19"/>
      <c r="F1025" s="203" t="str">
        <f t="shared" si="30"/>
        <v/>
      </c>
    </row>
    <row r="1026" spans="1:6" ht="14.1" customHeight="1">
      <c r="A1026" s="14">
        <f t="shared" si="29"/>
        <v>1022</v>
      </c>
      <c r="B1026" s="18"/>
      <c r="C1026" s="16" t="s">
        <v>1679</v>
      </c>
      <c r="D1026" s="19"/>
      <c r="E1026" s="19"/>
      <c r="F1026" s="203" t="str">
        <f t="shared" si="30"/>
        <v/>
      </c>
    </row>
    <row r="1027" spans="1:6" ht="14.1" customHeight="1">
      <c r="A1027" s="14">
        <f t="shared" ref="A1027:A1090" si="31">A1026+1</f>
        <v>1023</v>
      </c>
      <c r="B1027" s="18"/>
      <c r="C1027" s="16" t="s">
        <v>1679</v>
      </c>
      <c r="D1027" s="19"/>
      <c r="E1027" s="19"/>
      <c r="F1027" s="203" t="str">
        <f t="shared" si="30"/>
        <v/>
      </c>
    </row>
    <row r="1028" spans="1:6" ht="14.1" customHeight="1">
      <c r="A1028" s="14">
        <f t="shared" si="31"/>
        <v>1024</v>
      </c>
      <c r="B1028" s="18"/>
      <c r="C1028" s="16" t="s">
        <v>1679</v>
      </c>
      <c r="D1028" s="19"/>
      <c r="E1028" s="19"/>
      <c r="F1028" s="203" t="str">
        <f t="shared" si="30"/>
        <v/>
      </c>
    </row>
    <row r="1029" spans="1:6" ht="14.1" customHeight="1">
      <c r="A1029" s="14">
        <f t="shared" si="31"/>
        <v>1025</v>
      </c>
      <c r="B1029" s="18"/>
      <c r="C1029" s="16" t="s">
        <v>1679</v>
      </c>
      <c r="D1029" s="19"/>
      <c r="E1029" s="19"/>
      <c r="F1029" s="203" t="str">
        <f t="shared" si="30"/>
        <v/>
      </c>
    </row>
    <row r="1030" spans="1:6" ht="14.1" customHeight="1">
      <c r="A1030" s="14">
        <f t="shared" si="31"/>
        <v>1026</v>
      </c>
      <c r="B1030" s="18"/>
      <c r="C1030" s="16" t="s">
        <v>1679</v>
      </c>
      <c r="D1030" s="19"/>
      <c r="E1030" s="19"/>
      <c r="F1030" s="203" t="str">
        <f t="shared" si="30"/>
        <v/>
      </c>
    </row>
    <row r="1031" spans="1:6" ht="14.1" customHeight="1">
      <c r="A1031" s="14">
        <f t="shared" si="31"/>
        <v>1027</v>
      </c>
      <c r="B1031" s="18"/>
      <c r="C1031" s="16" t="s">
        <v>1679</v>
      </c>
      <c r="D1031" s="19"/>
      <c r="E1031" s="19"/>
      <c r="F1031" s="203" t="str">
        <f t="shared" si="30"/>
        <v/>
      </c>
    </row>
    <row r="1032" spans="1:6" ht="14.1" customHeight="1">
      <c r="A1032" s="14">
        <f t="shared" si="31"/>
        <v>1028</v>
      </c>
      <c r="B1032" s="18"/>
      <c r="C1032" s="16" t="s">
        <v>1679</v>
      </c>
      <c r="D1032" s="19"/>
      <c r="E1032" s="19"/>
      <c r="F1032" s="203" t="str">
        <f t="shared" si="30"/>
        <v/>
      </c>
    </row>
    <row r="1033" spans="1:6" ht="14.1" customHeight="1">
      <c r="A1033" s="14">
        <f t="shared" si="31"/>
        <v>1029</v>
      </c>
      <c r="B1033" s="18"/>
      <c r="C1033" s="16" t="s">
        <v>1679</v>
      </c>
      <c r="D1033" s="19"/>
      <c r="E1033" s="19"/>
      <c r="F1033" s="203" t="str">
        <f t="shared" si="30"/>
        <v/>
      </c>
    </row>
    <row r="1034" spans="1:6" ht="14.1" customHeight="1">
      <c r="A1034" s="14">
        <f t="shared" si="31"/>
        <v>1030</v>
      </c>
      <c r="B1034" s="18"/>
      <c r="C1034" s="16" t="s">
        <v>1679</v>
      </c>
      <c r="D1034" s="19"/>
      <c r="E1034" s="19"/>
      <c r="F1034" s="203" t="str">
        <f t="shared" si="30"/>
        <v/>
      </c>
    </row>
    <row r="1035" spans="1:6" ht="14.1" customHeight="1">
      <c r="A1035" s="14">
        <f t="shared" si="31"/>
        <v>1031</v>
      </c>
      <c r="B1035" s="18"/>
      <c r="C1035" s="16" t="s">
        <v>1679</v>
      </c>
      <c r="D1035" s="19"/>
      <c r="E1035" s="19"/>
      <c r="F1035" s="203" t="str">
        <f t="shared" si="30"/>
        <v/>
      </c>
    </row>
    <row r="1036" spans="1:6" ht="14.1" customHeight="1">
      <c r="A1036" s="14">
        <f t="shared" si="31"/>
        <v>1032</v>
      </c>
      <c r="B1036" s="18"/>
      <c r="C1036" s="16" t="s">
        <v>1679</v>
      </c>
      <c r="D1036" s="19"/>
      <c r="E1036" s="19"/>
      <c r="F1036" s="203" t="str">
        <f t="shared" si="30"/>
        <v/>
      </c>
    </row>
    <row r="1037" spans="1:6" ht="14.1" customHeight="1">
      <c r="A1037" s="14">
        <f t="shared" si="31"/>
        <v>1033</v>
      </c>
      <c r="B1037" s="18"/>
      <c r="C1037" s="16" t="s">
        <v>1679</v>
      </c>
      <c r="D1037" s="19"/>
      <c r="E1037" s="19"/>
      <c r="F1037" s="203" t="str">
        <f t="shared" si="30"/>
        <v/>
      </c>
    </row>
    <row r="1038" spans="1:6" ht="14.1" customHeight="1">
      <c r="A1038" s="14">
        <f t="shared" si="31"/>
        <v>1034</v>
      </c>
      <c r="B1038" s="18"/>
      <c r="C1038" s="16" t="s">
        <v>1679</v>
      </c>
      <c r="D1038" s="19"/>
      <c r="E1038" s="19"/>
      <c r="F1038" s="203" t="str">
        <f t="shared" si="30"/>
        <v/>
      </c>
    </row>
    <row r="1039" spans="1:6" ht="14.1" customHeight="1">
      <c r="A1039" s="14">
        <f t="shared" si="31"/>
        <v>1035</v>
      </c>
      <c r="B1039" s="18"/>
      <c r="C1039" s="16" t="s">
        <v>1679</v>
      </c>
      <c r="D1039" s="19"/>
      <c r="E1039" s="19"/>
      <c r="F1039" s="203" t="str">
        <f t="shared" si="30"/>
        <v/>
      </c>
    </row>
    <row r="1040" spans="1:6" ht="14.1" customHeight="1">
      <c r="A1040" s="14">
        <f t="shared" si="31"/>
        <v>1036</v>
      </c>
      <c r="B1040" s="18"/>
      <c r="C1040" s="16" t="s">
        <v>1679</v>
      </c>
      <c r="D1040" s="19"/>
      <c r="E1040" s="19"/>
      <c r="F1040" s="203" t="str">
        <f t="shared" si="30"/>
        <v/>
      </c>
    </row>
    <row r="1041" spans="1:6" ht="14.1" customHeight="1">
      <c r="A1041" s="14">
        <f t="shared" si="31"/>
        <v>1037</v>
      </c>
      <c r="B1041" s="18"/>
      <c r="C1041" s="16" t="s">
        <v>1679</v>
      </c>
      <c r="D1041" s="19"/>
      <c r="E1041" s="19"/>
      <c r="F1041" s="203" t="str">
        <f t="shared" si="30"/>
        <v/>
      </c>
    </row>
    <row r="1042" spans="1:6" ht="14.1" customHeight="1">
      <c r="A1042" s="14">
        <f t="shared" si="31"/>
        <v>1038</v>
      </c>
      <c r="B1042" s="18"/>
      <c r="C1042" s="16" t="s">
        <v>1679</v>
      </c>
      <c r="D1042" s="19"/>
      <c r="E1042" s="19"/>
      <c r="F1042" s="203" t="str">
        <f t="shared" si="30"/>
        <v/>
      </c>
    </row>
    <row r="1043" spans="1:6" ht="14.1" customHeight="1">
      <c r="A1043" s="14">
        <f t="shared" si="31"/>
        <v>1039</v>
      </c>
      <c r="B1043" s="18"/>
      <c r="C1043" s="16" t="s">
        <v>1679</v>
      </c>
      <c r="D1043" s="19"/>
      <c r="E1043" s="19"/>
      <c r="F1043" s="203" t="str">
        <f t="shared" si="30"/>
        <v/>
      </c>
    </row>
    <row r="1044" spans="1:6" ht="14.1" customHeight="1">
      <c r="A1044" s="14">
        <f t="shared" si="31"/>
        <v>1040</v>
      </c>
      <c r="B1044" s="18"/>
      <c r="C1044" s="16" t="s">
        <v>1679</v>
      </c>
      <c r="D1044" s="19"/>
      <c r="E1044" s="19"/>
      <c r="F1044" s="203" t="str">
        <f t="shared" si="30"/>
        <v/>
      </c>
    </row>
    <row r="1045" spans="1:6" ht="14.1" customHeight="1">
      <c r="A1045" s="14">
        <f t="shared" si="31"/>
        <v>1041</v>
      </c>
      <c r="B1045" s="18"/>
      <c r="C1045" s="16" t="s">
        <v>1679</v>
      </c>
      <c r="D1045" s="19"/>
      <c r="E1045" s="19"/>
      <c r="F1045" s="203" t="str">
        <f t="shared" si="30"/>
        <v/>
      </c>
    </row>
    <row r="1046" spans="1:6" ht="14.1" customHeight="1">
      <c r="A1046" s="14">
        <f t="shared" si="31"/>
        <v>1042</v>
      </c>
      <c r="B1046" s="18"/>
      <c r="C1046" s="16" t="s">
        <v>1679</v>
      </c>
      <c r="D1046" s="19"/>
      <c r="E1046" s="19"/>
      <c r="F1046" s="203" t="str">
        <f t="shared" si="30"/>
        <v/>
      </c>
    </row>
    <row r="1047" spans="1:6" ht="14.1" customHeight="1">
      <c r="A1047" s="14">
        <f t="shared" si="31"/>
        <v>1043</v>
      </c>
      <c r="B1047" s="18"/>
      <c r="C1047" s="16" t="s">
        <v>1679</v>
      </c>
      <c r="D1047" s="19"/>
      <c r="E1047" s="19"/>
      <c r="F1047" s="203" t="str">
        <f t="shared" si="30"/>
        <v/>
      </c>
    </row>
    <row r="1048" spans="1:6" ht="14.1" customHeight="1">
      <c r="A1048" s="14">
        <f t="shared" si="31"/>
        <v>1044</v>
      </c>
      <c r="B1048" s="18"/>
      <c r="C1048" s="16" t="s">
        <v>1679</v>
      </c>
      <c r="D1048" s="19"/>
      <c r="E1048" s="19"/>
      <c r="F1048" s="203" t="str">
        <f t="shared" si="30"/>
        <v/>
      </c>
    </row>
    <row r="1049" spans="1:6" ht="14.1" customHeight="1">
      <c r="A1049" s="14">
        <f t="shared" si="31"/>
        <v>1045</v>
      </c>
      <c r="B1049" s="18"/>
      <c r="C1049" s="16" t="s">
        <v>1679</v>
      </c>
      <c r="D1049" s="19"/>
      <c r="E1049" s="19"/>
      <c r="F1049" s="203" t="str">
        <f t="shared" si="30"/>
        <v/>
      </c>
    </row>
    <row r="1050" spans="1:6" ht="14.1" customHeight="1">
      <c r="A1050" s="14">
        <f t="shared" si="31"/>
        <v>1046</v>
      </c>
      <c r="B1050" s="18"/>
      <c r="C1050" s="16" t="s">
        <v>1679</v>
      </c>
      <c r="D1050" s="19"/>
      <c r="E1050" s="19"/>
      <c r="F1050" s="203" t="str">
        <f t="shared" si="30"/>
        <v/>
      </c>
    </row>
    <row r="1051" spans="1:6" ht="14.1" customHeight="1">
      <c r="A1051" s="14">
        <f t="shared" si="31"/>
        <v>1047</v>
      </c>
      <c r="B1051" s="18"/>
      <c r="C1051" s="16" t="s">
        <v>1679</v>
      </c>
      <c r="D1051" s="19"/>
      <c r="E1051" s="19"/>
      <c r="F1051" s="203" t="str">
        <f t="shared" si="30"/>
        <v/>
      </c>
    </row>
    <row r="1052" spans="1:6" ht="14.1" customHeight="1">
      <c r="A1052" s="14">
        <f t="shared" si="31"/>
        <v>1048</v>
      </c>
      <c r="B1052" s="18"/>
      <c r="C1052" s="16" t="s">
        <v>1679</v>
      </c>
      <c r="D1052" s="19"/>
      <c r="E1052" s="19"/>
      <c r="F1052" s="203" t="str">
        <f t="shared" si="30"/>
        <v/>
      </c>
    </row>
    <row r="1053" spans="1:6" ht="14.1" customHeight="1">
      <c r="A1053" s="14">
        <f t="shared" si="31"/>
        <v>1049</v>
      </c>
      <c r="B1053" s="18"/>
      <c r="C1053" s="16" t="s">
        <v>1679</v>
      </c>
      <c r="D1053" s="19"/>
      <c r="E1053" s="19"/>
      <c r="F1053" s="203" t="str">
        <f t="shared" si="30"/>
        <v/>
      </c>
    </row>
    <row r="1054" spans="1:6" ht="14.1" customHeight="1">
      <c r="A1054" s="14">
        <f t="shared" si="31"/>
        <v>1050</v>
      </c>
      <c r="B1054" s="18"/>
      <c r="C1054" s="16" t="s">
        <v>1679</v>
      </c>
      <c r="D1054" s="19"/>
      <c r="E1054" s="19"/>
      <c r="F1054" s="203" t="str">
        <f t="shared" si="30"/>
        <v/>
      </c>
    </row>
    <row r="1055" spans="1:6" ht="14.1" customHeight="1">
      <c r="A1055" s="14">
        <f t="shared" si="31"/>
        <v>1051</v>
      </c>
      <c r="B1055" s="18"/>
      <c r="C1055" s="16" t="s">
        <v>1679</v>
      </c>
      <c r="D1055" s="19"/>
      <c r="E1055" s="19"/>
      <c r="F1055" s="203" t="str">
        <f t="shared" si="30"/>
        <v/>
      </c>
    </row>
    <row r="1056" spans="1:6" ht="14.1" customHeight="1">
      <c r="A1056" s="14">
        <f t="shared" si="31"/>
        <v>1052</v>
      </c>
      <c r="B1056" s="18"/>
      <c r="C1056" s="16" t="s">
        <v>1679</v>
      </c>
      <c r="D1056" s="19"/>
      <c r="E1056" s="19"/>
      <c r="F1056" s="203" t="str">
        <f t="shared" si="30"/>
        <v/>
      </c>
    </row>
    <row r="1057" spans="1:6" ht="14.1" customHeight="1">
      <c r="A1057" s="14">
        <f t="shared" si="31"/>
        <v>1053</v>
      </c>
      <c r="B1057" s="18"/>
      <c r="C1057" s="16" t="s">
        <v>1679</v>
      </c>
      <c r="D1057" s="19"/>
      <c r="E1057" s="19"/>
      <c r="F1057" s="203" t="str">
        <f t="shared" si="30"/>
        <v/>
      </c>
    </row>
    <row r="1058" spans="1:6" ht="14.1" customHeight="1">
      <c r="A1058" s="14">
        <f t="shared" si="31"/>
        <v>1054</v>
      </c>
      <c r="B1058" s="18"/>
      <c r="C1058" s="16" t="s">
        <v>1679</v>
      </c>
      <c r="D1058" s="19"/>
      <c r="E1058" s="19"/>
      <c r="F1058" s="203" t="str">
        <f t="shared" si="30"/>
        <v/>
      </c>
    </row>
    <row r="1059" spans="1:6" ht="14.1" customHeight="1">
      <c r="A1059" s="14">
        <f t="shared" si="31"/>
        <v>1055</v>
      </c>
      <c r="B1059" s="18"/>
      <c r="C1059" s="16" t="s">
        <v>1679</v>
      </c>
      <c r="D1059" s="19"/>
      <c r="E1059" s="19"/>
      <c r="F1059" s="203" t="str">
        <f t="shared" si="30"/>
        <v/>
      </c>
    </row>
    <row r="1060" spans="1:6" ht="14.1" customHeight="1">
      <c r="A1060" s="14">
        <f t="shared" si="31"/>
        <v>1056</v>
      </c>
      <c r="B1060" s="18"/>
      <c r="C1060" s="16" t="s">
        <v>1679</v>
      </c>
      <c r="D1060" s="19"/>
      <c r="E1060" s="19"/>
      <c r="F1060" s="203" t="str">
        <f t="shared" si="30"/>
        <v/>
      </c>
    </row>
    <row r="1061" spans="1:6" ht="14.1" customHeight="1">
      <c r="A1061" s="14">
        <f t="shared" si="31"/>
        <v>1057</v>
      </c>
      <c r="B1061" s="18"/>
      <c r="C1061" s="16" t="s">
        <v>1679</v>
      </c>
      <c r="D1061" s="19"/>
      <c r="E1061" s="19"/>
      <c r="F1061" s="203" t="str">
        <f t="shared" si="30"/>
        <v/>
      </c>
    </row>
    <row r="1062" spans="1:6" ht="14.1" customHeight="1">
      <c r="A1062" s="14">
        <f t="shared" si="31"/>
        <v>1058</v>
      </c>
      <c r="B1062" s="18"/>
      <c r="C1062" s="16" t="s">
        <v>1679</v>
      </c>
      <c r="D1062" s="19"/>
      <c r="E1062" s="19"/>
      <c r="F1062" s="203" t="str">
        <f t="shared" si="30"/>
        <v/>
      </c>
    </row>
    <row r="1063" spans="1:6" ht="14.1" customHeight="1">
      <c r="A1063" s="14">
        <f t="shared" si="31"/>
        <v>1059</v>
      </c>
      <c r="B1063" s="18"/>
      <c r="C1063" s="16" t="s">
        <v>1679</v>
      </c>
      <c r="D1063" s="19"/>
      <c r="E1063" s="19"/>
      <c r="F1063" s="203" t="str">
        <f t="shared" si="30"/>
        <v/>
      </c>
    </row>
    <row r="1064" spans="1:6" ht="14.1" customHeight="1">
      <c r="A1064" s="14">
        <f t="shared" si="31"/>
        <v>1060</v>
      </c>
      <c r="B1064" s="18"/>
      <c r="C1064" s="16" t="s">
        <v>1679</v>
      </c>
      <c r="D1064" s="19"/>
      <c r="E1064" s="19"/>
      <c r="F1064" s="203" t="str">
        <f t="shared" si="30"/>
        <v/>
      </c>
    </row>
    <row r="1065" spans="1:6" ht="14.1" customHeight="1">
      <c r="A1065" s="14">
        <f t="shared" si="31"/>
        <v>1061</v>
      </c>
      <c r="B1065" s="18"/>
      <c r="C1065" s="16" t="s">
        <v>1679</v>
      </c>
      <c r="D1065" s="19"/>
      <c r="E1065" s="19"/>
      <c r="F1065" s="203" t="str">
        <f t="shared" si="30"/>
        <v/>
      </c>
    </row>
    <row r="1066" spans="1:6" ht="14.1" customHeight="1">
      <c r="A1066" s="14">
        <f t="shared" si="31"/>
        <v>1062</v>
      </c>
      <c r="B1066" s="18"/>
      <c r="C1066" s="16" t="s">
        <v>1679</v>
      </c>
      <c r="D1066" s="19"/>
      <c r="E1066" s="19"/>
      <c r="F1066" s="203" t="str">
        <f t="shared" ref="F1066:F1129" si="32">IF(AND(B1067&lt;&gt;"",B1066=""),"Don't skip lines",IF(AND(D1066="",B1066&lt;&gt;""),"Enter U-value",IF(AND(D1066&lt;&gt;"",B1066=""),"Enter Description","")))</f>
        <v/>
      </c>
    </row>
    <row r="1067" spans="1:6" ht="14.1" customHeight="1">
      <c r="A1067" s="14">
        <f t="shared" si="31"/>
        <v>1063</v>
      </c>
      <c r="B1067" s="18"/>
      <c r="C1067" s="16" t="s">
        <v>1679</v>
      </c>
      <c r="D1067" s="19"/>
      <c r="E1067" s="19"/>
      <c r="F1067" s="203" t="str">
        <f t="shared" si="32"/>
        <v/>
      </c>
    </row>
    <row r="1068" spans="1:6" ht="14.1" customHeight="1">
      <c r="A1068" s="14">
        <f t="shared" si="31"/>
        <v>1064</v>
      </c>
      <c r="B1068" s="18"/>
      <c r="C1068" s="16" t="s">
        <v>1679</v>
      </c>
      <c r="D1068" s="19"/>
      <c r="E1068" s="19"/>
      <c r="F1068" s="203" t="str">
        <f t="shared" si="32"/>
        <v/>
      </c>
    </row>
    <row r="1069" spans="1:6" ht="14.1" customHeight="1">
      <c r="A1069" s="14">
        <f t="shared" si="31"/>
        <v>1065</v>
      </c>
      <c r="B1069" s="18"/>
      <c r="C1069" s="16" t="s">
        <v>1679</v>
      </c>
      <c r="D1069" s="19"/>
      <c r="E1069" s="19"/>
      <c r="F1069" s="203" t="str">
        <f t="shared" si="32"/>
        <v/>
      </c>
    </row>
    <row r="1070" spans="1:6" ht="14.1" customHeight="1">
      <c r="A1070" s="14">
        <f t="shared" si="31"/>
        <v>1066</v>
      </c>
      <c r="B1070" s="18"/>
      <c r="C1070" s="16" t="s">
        <v>1679</v>
      </c>
      <c r="D1070" s="19"/>
      <c r="E1070" s="19"/>
      <c r="F1070" s="203" t="str">
        <f t="shared" si="32"/>
        <v/>
      </c>
    </row>
    <row r="1071" spans="1:6" ht="14.1" customHeight="1">
      <c r="A1071" s="14">
        <f t="shared" si="31"/>
        <v>1067</v>
      </c>
      <c r="B1071" s="18"/>
      <c r="C1071" s="16" t="s">
        <v>1679</v>
      </c>
      <c r="D1071" s="19"/>
      <c r="E1071" s="19"/>
      <c r="F1071" s="203" t="str">
        <f t="shared" si="32"/>
        <v/>
      </c>
    </row>
    <row r="1072" spans="1:6" ht="14.1" customHeight="1">
      <c r="A1072" s="14">
        <f t="shared" si="31"/>
        <v>1068</v>
      </c>
      <c r="B1072" s="18"/>
      <c r="C1072" s="16" t="s">
        <v>1679</v>
      </c>
      <c r="D1072" s="19"/>
      <c r="E1072" s="19"/>
      <c r="F1072" s="203" t="str">
        <f t="shared" si="32"/>
        <v/>
      </c>
    </row>
    <row r="1073" spans="1:6" ht="14.1" customHeight="1">
      <c r="A1073" s="14">
        <f t="shared" si="31"/>
        <v>1069</v>
      </c>
      <c r="B1073" s="18"/>
      <c r="C1073" s="16" t="s">
        <v>1679</v>
      </c>
      <c r="D1073" s="19"/>
      <c r="E1073" s="19"/>
      <c r="F1073" s="203" t="str">
        <f t="shared" si="32"/>
        <v/>
      </c>
    </row>
    <row r="1074" spans="1:6" ht="14.1" customHeight="1">
      <c r="A1074" s="14">
        <f t="shared" si="31"/>
        <v>1070</v>
      </c>
      <c r="B1074" s="18"/>
      <c r="C1074" s="16" t="s">
        <v>1679</v>
      </c>
      <c r="D1074" s="19"/>
      <c r="E1074" s="19"/>
      <c r="F1074" s="203" t="str">
        <f t="shared" si="32"/>
        <v/>
      </c>
    </row>
    <row r="1075" spans="1:6" ht="14.1" customHeight="1">
      <c r="A1075" s="14">
        <f t="shared" si="31"/>
        <v>1071</v>
      </c>
      <c r="B1075" s="18"/>
      <c r="C1075" s="16" t="s">
        <v>1679</v>
      </c>
      <c r="D1075" s="19"/>
      <c r="E1075" s="19"/>
      <c r="F1075" s="203" t="str">
        <f t="shared" si="32"/>
        <v/>
      </c>
    </row>
    <row r="1076" spans="1:6" ht="14.1" customHeight="1">
      <c r="A1076" s="14">
        <f t="shared" si="31"/>
        <v>1072</v>
      </c>
      <c r="B1076" s="18"/>
      <c r="C1076" s="16" t="s">
        <v>1679</v>
      </c>
      <c r="D1076" s="19"/>
      <c r="E1076" s="19"/>
      <c r="F1076" s="203" t="str">
        <f t="shared" si="32"/>
        <v/>
      </c>
    </row>
    <row r="1077" spans="1:6" ht="14.1" customHeight="1">
      <c r="A1077" s="14">
        <f t="shared" si="31"/>
        <v>1073</v>
      </c>
      <c r="B1077" s="18"/>
      <c r="C1077" s="16" t="s">
        <v>1679</v>
      </c>
      <c r="D1077" s="19"/>
      <c r="E1077" s="19"/>
      <c r="F1077" s="203" t="str">
        <f t="shared" si="32"/>
        <v/>
      </c>
    </row>
    <row r="1078" spans="1:6" ht="14.1" customHeight="1">
      <c r="A1078" s="14">
        <f t="shared" si="31"/>
        <v>1074</v>
      </c>
      <c r="B1078" s="18"/>
      <c r="C1078" s="16" t="s">
        <v>1679</v>
      </c>
      <c r="D1078" s="19"/>
      <c r="E1078" s="19"/>
      <c r="F1078" s="203" t="str">
        <f t="shared" si="32"/>
        <v/>
      </c>
    </row>
    <row r="1079" spans="1:6" ht="14.1" customHeight="1">
      <c r="A1079" s="14">
        <f t="shared" si="31"/>
        <v>1075</v>
      </c>
      <c r="B1079" s="18"/>
      <c r="C1079" s="16" t="s">
        <v>1679</v>
      </c>
      <c r="D1079" s="19"/>
      <c r="E1079" s="19"/>
      <c r="F1079" s="203" t="str">
        <f t="shared" si="32"/>
        <v/>
      </c>
    </row>
    <row r="1080" spans="1:6" ht="14.1" customHeight="1">
      <c r="A1080" s="14">
        <f t="shared" si="31"/>
        <v>1076</v>
      </c>
      <c r="B1080" s="18"/>
      <c r="C1080" s="16" t="s">
        <v>1679</v>
      </c>
      <c r="D1080" s="19"/>
      <c r="E1080" s="19"/>
      <c r="F1080" s="203" t="str">
        <f t="shared" si="32"/>
        <v/>
      </c>
    </row>
    <row r="1081" spans="1:6" ht="14.1" customHeight="1">
      <c r="A1081" s="14">
        <f t="shared" si="31"/>
        <v>1077</v>
      </c>
      <c r="B1081" s="18"/>
      <c r="C1081" s="16" t="s">
        <v>1679</v>
      </c>
      <c r="D1081" s="19"/>
      <c r="E1081" s="19"/>
      <c r="F1081" s="203" t="str">
        <f t="shared" si="32"/>
        <v/>
      </c>
    </row>
    <row r="1082" spans="1:6" ht="14.1" customHeight="1">
      <c r="A1082" s="14">
        <f t="shared" si="31"/>
        <v>1078</v>
      </c>
      <c r="B1082" s="18"/>
      <c r="C1082" s="16" t="s">
        <v>1679</v>
      </c>
      <c r="D1082" s="19"/>
      <c r="E1082" s="19"/>
      <c r="F1082" s="203" t="str">
        <f t="shared" si="32"/>
        <v/>
      </c>
    </row>
    <row r="1083" spans="1:6" ht="14.1" customHeight="1">
      <c r="A1083" s="14">
        <f t="shared" si="31"/>
        <v>1079</v>
      </c>
      <c r="B1083" s="18"/>
      <c r="C1083" s="16" t="s">
        <v>1679</v>
      </c>
      <c r="D1083" s="19"/>
      <c r="E1083" s="19"/>
      <c r="F1083" s="203" t="str">
        <f t="shared" si="32"/>
        <v/>
      </c>
    </row>
    <row r="1084" spans="1:6" ht="14.1" customHeight="1">
      <c r="A1084" s="14">
        <f t="shared" si="31"/>
        <v>1080</v>
      </c>
      <c r="B1084" s="18"/>
      <c r="C1084" s="16" t="s">
        <v>1679</v>
      </c>
      <c r="D1084" s="19"/>
      <c r="E1084" s="19"/>
      <c r="F1084" s="203" t="str">
        <f t="shared" si="32"/>
        <v/>
      </c>
    </row>
    <row r="1085" spans="1:6" ht="14.1" customHeight="1">
      <c r="A1085" s="14">
        <f t="shared" si="31"/>
        <v>1081</v>
      </c>
      <c r="B1085" s="18"/>
      <c r="C1085" s="16" t="s">
        <v>1679</v>
      </c>
      <c r="D1085" s="19"/>
      <c r="E1085" s="19"/>
      <c r="F1085" s="203" t="str">
        <f t="shared" si="32"/>
        <v/>
      </c>
    </row>
    <row r="1086" spans="1:6" ht="14.1" customHeight="1">
      <c r="A1086" s="14">
        <f t="shared" si="31"/>
        <v>1082</v>
      </c>
      <c r="B1086" s="18"/>
      <c r="C1086" s="16" t="s">
        <v>1679</v>
      </c>
      <c r="D1086" s="19"/>
      <c r="E1086" s="19"/>
      <c r="F1086" s="203" t="str">
        <f t="shared" si="32"/>
        <v/>
      </c>
    </row>
    <row r="1087" spans="1:6" ht="14.1" customHeight="1">
      <c r="A1087" s="14">
        <f t="shared" si="31"/>
        <v>1083</v>
      </c>
      <c r="B1087" s="18"/>
      <c r="C1087" s="16" t="s">
        <v>1679</v>
      </c>
      <c r="D1087" s="19"/>
      <c r="E1087" s="19"/>
      <c r="F1087" s="203" t="str">
        <f t="shared" si="32"/>
        <v/>
      </c>
    </row>
    <row r="1088" spans="1:6" ht="14.1" customHeight="1">
      <c r="A1088" s="14">
        <f t="shared" si="31"/>
        <v>1084</v>
      </c>
      <c r="B1088" s="18"/>
      <c r="C1088" s="16" t="s">
        <v>1679</v>
      </c>
      <c r="D1088" s="19"/>
      <c r="E1088" s="19"/>
      <c r="F1088" s="203" t="str">
        <f t="shared" si="32"/>
        <v/>
      </c>
    </row>
    <row r="1089" spans="1:6" ht="14.1" customHeight="1">
      <c r="A1089" s="14">
        <f t="shared" si="31"/>
        <v>1085</v>
      </c>
      <c r="B1089" s="18"/>
      <c r="C1089" s="16" t="s">
        <v>1679</v>
      </c>
      <c r="D1089" s="19"/>
      <c r="E1089" s="19"/>
      <c r="F1089" s="203" t="str">
        <f t="shared" si="32"/>
        <v/>
      </c>
    </row>
    <row r="1090" spans="1:6" ht="14.1" customHeight="1">
      <c r="A1090" s="14">
        <f t="shared" si="31"/>
        <v>1086</v>
      </c>
      <c r="B1090" s="18"/>
      <c r="C1090" s="16" t="s">
        <v>1679</v>
      </c>
      <c r="D1090" s="19"/>
      <c r="E1090" s="19"/>
      <c r="F1090" s="203" t="str">
        <f t="shared" si="32"/>
        <v/>
      </c>
    </row>
    <row r="1091" spans="1:6" ht="14.1" customHeight="1">
      <c r="A1091" s="14">
        <f t="shared" ref="A1091:A1154" si="33">A1090+1</f>
        <v>1087</v>
      </c>
      <c r="B1091" s="18"/>
      <c r="C1091" s="16" t="s">
        <v>1679</v>
      </c>
      <c r="D1091" s="19"/>
      <c r="E1091" s="19"/>
      <c r="F1091" s="203" t="str">
        <f t="shared" si="32"/>
        <v/>
      </c>
    </row>
    <row r="1092" spans="1:6" ht="14.1" customHeight="1">
      <c r="A1092" s="14">
        <f t="shared" si="33"/>
        <v>1088</v>
      </c>
      <c r="B1092" s="18"/>
      <c r="C1092" s="16" t="s">
        <v>1679</v>
      </c>
      <c r="D1092" s="19"/>
      <c r="E1092" s="19"/>
      <c r="F1092" s="203" t="str">
        <f t="shared" si="32"/>
        <v/>
      </c>
    </row>
    <row r="1093" spans="1:6" ht="14.1" customHeight="1">
      <c r="A1093" s="14">
        <f t="shared" si="33"/>
        <v>1089</v>
      </c>
      <c r="B1093" s="18"/>
      <c r="C1093" s="16" t="s">
        <v>1679</v>
      </c>
      <c r="D1093" s="19"/>
      <c r="E1093" s="19"/>
      <c r="F1093" s="203" t="str">
        <f t="shared" si="32"/>
        <v/>
      </c>
    </row>
    <row r="1094" spans="1:6" ht="14.1" customHeight="1">
      <c r="A1094" s="14">
        <f t="shared" si="33"/>
        <v>1090</v>
      </c>
      <c r="B1094" s="18"/>
      <c r="C1094" s="16" t="s">
        <v>1679</v>
      </c>
      <c r="D1094" s="19"/>
      <c r="E1094" s="19"/>
      <c r="F1094" s="203" t="str">
        <f t="shared" si="32"/>
        <v/>
      </c>
    </row>
    <row r="1095" spans="1:6" ht="14.1" customHeight="1">
      <c r="A1095" s="14">
        <f t="shared" si="33"/>
        <v>1091</v>
      </c>
      <c r="B1095" s="18"/>
      <c r="C1095" s="16" t="s">
        <v>1679</v>
      </c>
      <c r="D1095" s="19"/>
      <c r="E1095" s="19"/>
      <c r="F1095" s="203" t="str">
        <f t="shared" si="32"/>
        <v/>
      </c>
    </row>
    <row r="1096" spans="1:6" ht="14.1" customHeight="1">
      <c r="A1096" s="14">
        <f t="shared" si="33"/>
        <v>1092</v>
      </c>
      <c r="B1096" s="18"/>
      <c r="C1096" s="16" t="s">
        <v>1679</v>
      </c>
      <c r="D1096" s="19"/>
      <c r="E1096" s="19"/>
      <c r="F1096" s="203" t="str">
        <f t="shared" si="32"/>
        <v/>
      </c>
    </row>
    <row r="1097" spans="1:6" ht="14.1" customHeight="1">
      <c r="A1097" s="14">
        <f t="shared" si="33"/>
        <v>1093</v>
      </c>
      <c r="B1097" s="18"/>
      <c r="C1097" s="16" t="s">
        <v>1679</v>
      </c>
      <c r="D1097" s="19"/>
      <c r="E1097" s="19"/>
      <c r="F1097" s="203" t="str">
        <f t="shared" si="32"/>
        <v/>
      </c>
    </row>
    <row r="1098" spans="1:6" ht="14.1" customHeight="1">
      <c r="A1098" s="14">
        <f t="shared" si="33"/>
        <v>1094</v>
      </c>
      <c r="B1098" s="18"/>
      <c r="C1098" s="16" t="s">
        <v>1679</v>
      </c>
      <c r="D1098" s="19"/>
      <c r="E1098" s="19"/>
      <c r="F1098" s="203" t="str">
        <f t="shared" si="32"/>
        <v/>
      </c>
    </row>
    <row r="1099" spans="1:6" ht="14.1" customHeight="1">
      <c r="A1099" s="14">
        <f t="shared" si="33"/>
        <v>1095</v>
      </c>
      <c r="B1099" s="18"/>
      <c r="C1099" s="16" t="s">
        <v>1679</v>
      </c>
      <c r="D1099" s="19"/>
      <c r="E1099" s="19"/>
      <c r="F1099" s="203" t="str">
        <f t="shared" si="32"/>
        <v/>
      </c>
    </row>
    <row r="1100" spans="1:6" ht="14.1" customHeight="1">
      <c r="A1100" s="14">
        <f t="shared" si="33"/>
        <v>1096</v>
      </c>
      <c r="B1100" s="18"/>
      <c r="C1100" s="16" t="s">
        <v>1679</v>
      </c>
      <c r="D1100" s="19"/>
      <c r="E1100" s="19"/>
      <c r="F1100" s="203" t="str">
        <f t="shared" si="32"/>
        <v/>
      </c>
    </row>
    <row r="1101" spans="1:6" ht="14.1" customHeight="1">
      <c r="A1101" s="14">
        <f t="shared" si="33"/>
        <v>1097</v>
      </c>
      <c r="B1101" s="18"/>
      <c r="C1101" s="16" t="s">
        <v>1679</v>
      </c>
      <c r="D1101" s="19"/>
      <c r="E1101" s="19"/>
      <c r="F1101" s="203" t="str">
        <f t="shared" si="32"/>
        <v/>
      </c>
    </row>
    <row r="1102" spans="1:6" ht="14.1" customHeight="1">
      <c r="A1102" s="14">
        <f t="shared" si="33"/>
        <v>1098</v>
      </c>
      <c r="B1102" s="18"/>
      <c r="C1102" s="16" t="s">
        <v>1679</v>
      </c>
      <c r="D1102" s="19"/>
      <c r="E1102" s="19"/>
      <c r="F1102" s="203" t="str">
        <f t="shared" si="32"/>
        <v/>
      </c>
    </row>
    <row r="1103" spans="1:6" ht="14.1" customHeight="1">
      <c r="A1103" s="14">
        <f t="shared" si="33"/>
        <v>1099</v>
      </c>
      <c r="B1103" s="18"/>
      <c r="C1103" s="16" t="s">
        <v>1679</v>
      </c>
      <c r="D1103" s="19"/>
      <c r="E1103" s="19"/>
      <c r="F1103" s="203" t="str">
        <f t="shared" si="32"/>
        <v/>
      </c>
    </row>
    <row r="1104" spans="1:6" ht="14.1" customHeight="1">
      <c r="A1104" s="14">
        <f t="shared" si="33"/>
        <v>1100</v>
      </c>
      <c r="B1104" s="18"/>
      <c r="C1104" s="16" t="s">
        <v>1679</v>
      </c>
      <c r="D1104" s="19"/>
      <c r="E1104" s="19"/>
      <c r="F1104" s="203" t="str">
        <f t="shared" si="32"/>
        <v/>
      </c>
    </row>
    <row r="1105" spans="1:6" ht="14.1" customHeight="1">
      <c r="A1105" s="14">
        <f t="shared" si="33"/>
        <v>1101</v>
      </c>
      <c r="B1105" s="18"/>
      <c r="C1105" s="16" t="s">
        <v>1679</v>
      </c>
      <c r="D1105" s="19"/>
      <c r="E1105" s="19"/>
      <c r="F1105" s="203" t="str">
        <f t="shared" si="32"/>
        <v/>
      </c>
    </row>
    <row r="1106" spans="1:6" ht="14.1" customHeight="1">
      <c r="A1106" s="14">
        <f t="shared" si="33"/>
        <v>1102</v>
      </c>
      <c r="B1106" s="18"/>
      <c r="C1106" s="16" t="s">
        <v>1679</v>
      </c>
      <c r="D1106" s="19"/>
      <c r="E1106" s="19"/>
      <c r="F1106" s="203" t="str">
        <f t="shared" si="32"/>
        <v/>
      </c>
    </row>
    <row r="1107" spans="1:6" ht="14.1" customHeight="1">
      <c r="A1107" s="14">
        <f t="shared" si="33"/>
        <v>1103</v>
      </c>
      <c r="B1107" s="18"/>
      <c r="C1107" s="16" t="s">
        <v>1679</v>
      </c>
      <c r="D1107" s="19"/>
      <c r="E1107" s="19"/>
      <c r="F1107" s="203" t="str">
        <f t="shared" si="32"/>
        <v/>
      </c>
    </row>
    <row r="1108" spans="1:6" ht="14.1" customHeight="1">
      <c r="A1108" s="14">
        <f t="shared" si="33"/>
        <v>1104</v>
      </c>
      <c r="B1108" s="18"/>
      <c r="C1108" s="16" t="s">
        <v>1679</v>
      </c>
      <c r="D1108" s="19"/>
      <c r="E1108" s="19"/>
      <c r="F1108" s="203" t="str">
        <f t="shared" si="32"/>
        <v/>
      </c>
    </row>
    <row r="1109" spans="1:6" ht="14.1" customHeight="1">
      <c r="A1109" s="14">
        <f t="shared" si="33"/>
        <v>1105</v>
      </c>
      <c r="B1109" s="18"/>
      <c r="C1109" s="16" t="s">
        <v>1679</v>
      </c>
      <c r="D1109" s="19"/>
      <c r="E1109" s="19"/>
      <c r="F1109" s="203" t="str">
        <f t="shared" si="32"/>
        <v/>
      </c>
    </row>
    <row r="1110" spans="1:6" ht="14.1" customHeight="1">
      <c r="A1110" s="14">
        <f t="shared" si="33"/>
        <v>1106</v>
      </c>
      <c r="B1110" s="18"/>
      <c r="C1110" s="16" t="s">
        <v>1679</v>
      </c>
      <c r="D1110" s="19"/>
      <c r="E1110" s="19"/>
      <c r="F1110" s="203" t="str">
        <f t="shared" si="32"/>
        <v/>
      </c>
    </row>
    <row r="1111" spans="1:6" ht="14.1" customHeight="1">
      <c r="A1111" s="14">
        <f t="shared" si="33"/>
        <v>1107</v>
      </c>
      <c r="B1111" s="18"/>
      <c r="C1111" s="16" t="s">
        <v>1679</v>
      </c>
      <c r="D1111" s="19"/>
      <c r="E1111" s="19"/>
      <c r="F1111" s="203" t="str">
        <f t="shared" si="32"/>
        <v/>
      </c>
    </row>
    <row r="1112" spans="1:6" ht="14.1" customHeight="1">
      <c r="A1112" s="14">
        <f t="shared" si="33"/>
        <v>1108</v>
      </c>
      <c r="B1112" s="18"/>
      <c r="C1112" s="16" t="s">
        <v>1679</v>
      </c>
      <c r="D1112" s="19"/>
      <c r="E1112" s="19"/>
      <c r="F1112" s="203" t="str">
        <f t="shared" si="32"/>
        <v/>
      </c>
    </row>
    <row r="1113" spans="1:6" ht="14.1" customHeight="1">
      <c r="A1113" s="14">
        <f t="shared" si="33"/>
        <v>1109</v>
      </c>
      <c r="B1113" s="18"/>
      <c r="C1113" s="16" t="s">
        <v>1679</v>
      </c>
      <c r="D1113" s="19"/>
      <c r="E1113" s="19"/>
      <c r="F1113" s="203" t="str">
        <f t="shared" si="32"/>
        <v/>
      </c>
    </row>
    <row r="1114" spans="1:6" ht="14.1" customHeight="1">
      <c r="A1114" s="14">
        <f t="shared" si="33"/>
        <v>1110</v>
      </c>
      <c r="B1114" s="18"/>
      <c r="C1114" s="16" t="s">
        <v>1679</v>
      </c>
      <c r="D1114" s="19"/>
      <c r="E1114" s="19"/>
      <c r="F1114" s="203" t="str">
        <f t="shared" si="32"/>
        <v/>
      </c>
    </row>
    <row r="1115" spans="1:6" ht="14.1" customHeight="1">
      <c r="A1115" s="14">
        <f t="shared" si="33"/>
        <v>1111</v>
      </c>
      <c r="B1115" s="18"/>
      <c r="C1115" s="16" t="s">
        <v>1679</v>
      </c>
      <c r="D1115" s="19"/>
      <c r="E1115" s="19"/>
      <c r="F1115" s="203" t="str">
        <f t="shared" si="32"/>
        <v/>
      </c>
    </row>
    <row r="1116" spans="1:6" ht="14.1" customHeight="1">
      <c r="A1116" s="14">
        <f t="shared" si="33"/>
        <v>1112</v>
      </c>
      <c r="B1116" s="18"/>
      <c r="C1116" s="16" t="s">
        <v>1679</v>
      </c>
      <c r="D1116" s="19"/>
      <c r="E1116" s="19"/>
      <c r="F1116" s="203" t="str">
        <f t="shared" si="32"/>
        <v/>
      </c>
    </row>
    <row r="1117" spans="1:6" ht="14.1" customHeight="1">
      <c r="A1117" s="14">
        <f t="shared" si="33"/>
        <v>1113</v>
      </c>
      <c r="B1117" s="18"/>
      <c r="C1117" s="16" t="s">
        <v>1679</v>
      </c>
      <c r="D1117" s="19"/>
      <c r="E1117" s="19"/>
      <c r="F1117" s="203" t="str">
        <f t="shared" si="32"/>
        <v/>
      </c>
    </row>
    <row r="1118" spans="1:6" ht="14.1" customHeight="1">
      <c r="A1118" s="14">
        <f t="shared" si="33"/>
        <v>1114</v>
      </c>
      <c r="B1118" s="18"/>
      <c r="C1118" s="16" t="s">
        <v>1679</v>
      </c>
      <c r="D1118" s="19"/>
      <c r="E1118" s="19"/>
      <c r="F1118" s="203" t="str">
        <f t="shared" si="32"/>
        <v/>
      </c>
    </row>
    <row r="1119" spans="1:6" ht="14.1" customHeight="1">
      <c r="A1119" s="14">
        <f t="shared" si="33"/>
        <v>1115</v>
      </c>
      <c r="B1119" s="18"/>
      <c r="C1119" s="16" t="s">
        <v>1679</v>
      </c>
      <c r="D1119" s="19"/>
      <c r="E1119" s="19"/>
      <c r="F1119" s="203" t="str">
        <f t="shared" si="32"/>
        <v/>
      </c>
    </row>
    <row r="1120" spans="1:6" ht="14.1" customHeight="1">
      <c r="A1120" s="14">
        <f t="shared" si="33"/>
        <v>1116</v>
      </c>
      <c r="B1120" s="18"/>
      <c r="C1120" s="16" t="s">
        <v>1679</v>
      </c>
      <c r="D1120" s="19"/>
      <c r="E1120" s="19"/>
      <c r="F1120" s="203" t="str">
        <f t="shared" si="32"/>
        <v/>
      </c>
    </row>
    <row r="1121" spans="1:6" ht="14.1" customHeight="1">
      <c r="A1121" s="14">
        <f t="shared" si="33"/>
        <v>1117</v>
      </c>
      <c r="B1121" s="18"/>
      <c r="C1121" s="16" t="s">
        <v>1679</v>
      </c>
      <c r="D1121" s="19"/>
      <c r="E1121" s="19"/>
      <c r="F1121" s="203" t="str">
        <f t="shared" si="32"/>
        <v/>
      </c>
    </row>
    <row r="1122" spans="1:6" ht="14.1" customHeight="1">
      <c r="A1122" s="14">
        <f t="shared" si="33"/>
        <v>1118</v>
      </c>
      <c r="B1122" s="18"/>
      <c r="C1122" s="16" t="s">
        <v>1679</v>
      </c>
      <c r="D1122" s="19"/>
      <c r="E1122" s="19"/>
      <c r="F1122" s="203" t="str">
        <f t="shared" si="32"/>
        <v/>
      </c>
    </row>
    <row r="1123" spans="1:6" ht="14.1" customHeight="1">
      <c r="A1123" s="14">
        <f t="shared" si="33"/>
        <v>1119</v>
      </c>
      <c r="B1123" s="18"/>
      <c r="C1123" s="16" t="s">
        <v>1679</v>
      </c>
      <c r="D1123" s="19"/>
      <c r="E1123" s="19"/>
      <c r="F1123" s="203" t="str">
        <f t="shared" si="32"/>
        <v/>
      </c>
    </row>
    <row r="1124" spans="1:6" ht="14.1" customHeight="1">
      <c r="A1124" s="14">
        <f t="shared" si="33"/>
        <v>1120</v>
      </c>
      <c r="B1124" s="18"/>
      <c r="C1124" s="16" t="s">
        <v>1679</v>
      </c>
      <c r="D1124" s="19"/>
      <c r="E1124" s="19"/>
      <c r="F1124" s="203" t="str">
        <f t="shared" si="32"/>
        <v/>
      </c>
    </row>
    <row r="1125" spans="1:6" ht="14.1" customHeight="1">
      <c r="A1125" s="14">
        <f t="shared" si="33"/>
        <v>1121</v>
      </c>
      <c r="B1125" s="18"/>
      <c r="C1125" s="16" t="s">
        <v>1679</v>
      </c>
      <c r="D1125" s="19"/>
      <c r="E1125" s="19"/>
      <c r="F1125" s="203" t="str">
        <f t="shared" si="32"/>
        <v/>
      </c>
    </row>
    <row r="1126" spans="1:6" ht="14.1" customHeight="1">
      <c r="A1126" s="14">
        <f t="shared" si="33"/>
        <v>1122</v>
      </c>
      <c r="B1126" s="18"/>
      <c r="C1126" s="16" t="s">
        <v>1679</v>
      </c>
      <c r="D1126" s="19"/>
      <c r="E1126" s="19"/>
      <c r="F1126" s="203" t="str">
        <f t="shared" si="32"/>
        <v/>
      </c>
    </row>
    <row r="1127" spans="1:6" ht="14.1" customHeight="1">
      <c r="A1127" s="14">
        <f t="shared" si="33"/>
        <v>1123</v>
      </c>
      <c r="B1127" s="18"/>
      <c r="C1127" s="16" t="s">
        <v>1679</v>
      </c>
      <c r="D1127" s="19"/>
      <c r="E1127" s="19"/>
      <c r="F1127" s="203" t="str">
        <f t="shared" si="32"/>
        <v/>
      </c>
    </row>
    <row r="1128" spans="1:6" ht="14.1" customHeight="1">
      <c r="A1128" s="14">
        <f t="shared" si="33"/>
        <v>1124</v>
      </c>
      <c r="B1128" s="18"/>
      <c r="C1128" s="16" t="s">
        <v>1679</v>
      </c>
      <c r="D1128" s="19"/>
      <c r="E1128" s="19"/>
      <c r="F1128" s="203" t="str">
        <f t="shared" si="32"/>
        <v/>
      </c>
    </row>
    <row r="1129" spans="1:6" ht="14.1" customHeight="1">
      <c r="A1129" s="14">
        <f t="shared" si="33"/>
        <v>1125</v>
      </c>
      <c r="B1129" s="18"/>
      <c r="C1129" s="16" t="s">
        <v>1679</v>
      </c>
      <c r="D1129" s="19"/>
      <c r="E1129" s="19"/>
      <c r="F1129" s="203" t="str">
        <f t="shared" si="32"/>
        <v/>
      </c>
    </row>
    <row r="1130" spans="1:6" ht="14.1" customHeight="1">
      <c r="A1130" s="14">
        <f t="shared" si="33"/>
        <v>1126</v>
      </c>
      <c r="B1130" s="18"/>
      <c r="C1130" s="16" t="s">
        <v>1679</v>
      </c>
      <c r="D1130" s="19"/>
      <c r="E1130" s="19"/>
      <c r="F1130" s="203" t="str">
        <f t="shared" ref="F1130:F1193" si="34">IF(AND(B1131&lt;&gt;"",B1130=""),"Don't skip lines",IF(AND(D1130="",B1130&lt;&gt;""),"Enter U-value",IF(AND(D1130&lt;&gt;"",B1130=""),"Enter Description","")))</f>
        <v/>
      </c>
    </row>
    <row r="1131" spans="1:6" ht="14.1" customHeight="1">
      <c r="A1131" s="14">
        <f t="shared" si="33"/>
        <v>1127</v>
      </c>
      <c r="B1131" s="18"/>
      <c r="C1131" s="16" t="s">
        <v>1679</v>
      </c>
      <c r="D1131" s="19"/>
      <c r="E1131" s="19"/>
      <c r="F1131" s="203" t="str">
        <f t="shared" si="34"/>
        <v/>
      </c>
    </row>
    <row r="1132" spans="1:6" ht="14.1" customHeight="1">
      <c r="A1132" s="14">
        <f t="shared" si="33"/>
        <v>1128</v>
      </c>
      <c r="B1132" s="18"/>
      <c r="C1132" s="16" t="s">
        <v>1679</v>
      </c>
      <c r="D1132" s="19"/>
      <c r="E1132" s="19"/>
      <c r="F1132" s="203" t="str">
        <f t="shared" si="34"/>
        <v/>
      </c>
    </row>
    <row r="1133" spans="1:6" ht="14.1" customHeight="1">
      <c r="A1133" s="14">
        <f t="shared" si="33"/>
        <v>1129</v>
      </c>
      <c r="B1133" s="18"/>
      <c r="C1133" s="16" t="s">
        <v>1679</v>
      </c>
      <c r="D1133" s="19"/>
      <c r="E1133" s="19"/>
      <c r="F1133" s="203" t="str">
        <f t="shared" si="34"/>
        <v/>
      </c>
    </row>
    <row r="1134" spans="1:6" ht="14.1" customHeight="1">
      <c r="A1134" s="14">
        <f t="shared" si="33"/>
        <v>1130</v>
      </c>
      <c r="B1134" s="18"/>
      <c r="C1134" s="16" t="s">
        <v>1679</v>
      </c>
      <c r="D1134" s="19"/>
      <c r="E1134" s="19"/>
      <c r="F1134" s="203" t="str">
        <f t="shared" si="34"/>
        <v/>
      </c>
    </row>
    <row r="1135" spans="1:6" ht="14.1" customHeight="1">
      <c r="A1135" s="14">
        <f t="shared" si="33"/>
        <v>1131</v>
      </c>
      <c r="B1135" s="18"/>
      <c r="C1135" s="16" t="s">
        <v>1679</v>
      </c>
      <c r="D1135" s="19"/>
      <c r="E1135" s="19"/>
      <c r="F1135" s="203" t="str">
        <f t="shared" si="34"/>
        <v/>
      </c>
    </row>
    <row r="1136" spans="1:6" ht="14.1" customHeight="1">
      <c r="A1136" s="14">
        <f t="shared" si="33"/>
        <v>1132</v>
      </c>
      <c r="B1136" s="18"/>
      <c r="C1136" s="16" t="s">
        <v>1679</v>
      </c>
      <c r="D1136" s="19"/>
      <c r="E1136" s="19"/>
      <c r="F1136" s="203" t="str">
        <f t="shared" si="34"/>
        <v/>
      </c>
    </row>
    <row r="1137" spans="1:6" ht="14.1" customHeight="1">
      <c r="A1137" s="14">
        <f t="shared" si="33"/>
        <v>1133</v>
      </c>
      <c r="B1137" s="18"/>
      <c r="C1137" s="16" t="s">
        <v>1679</v>
      </c>
      <c r="D1137" s="19"/>
      <c r="E1137" s="19"/>
      <c r="F1137" s="203" t="str">
        <f t="shared" si="34"/>
        <v/>
      </c>
    </row>
    <row r="1138" spans="1:6" ht="14.1" customHeight="1">
      <c r="A1138" s="14">
        <f t="shared" si="33"/>
        <v>1134</v>
      </c>
      <c r="B1138" s="18"/>
      <c r="C1138" s="16" t="s">
        <v>1679</v>
      </c>
      <c r="D1138" s="19"/>
      <c r="E1138" s="19"/>
      <c r="F1138" s="203" t="str">
        <f t="shared" si="34"/>
        <v/>
      </c>
    </row>
    <row r="1139" spans="1:6" ht="14.1" customHeight="1">
      <c r="A1139" s="14">
        <f t="shared" si="33"/>
        <v>1135</v>
      </c>
      <c r="B1139" s="18"/>
      <c r="C1139" s="16" t="s">
        <v>1679</v>
      </c>
      <c r="D1139" s="19"/>
      <c r="E1139" s="19"/>
      <c r="F1139" s="203" t="str">
        <f t="shared" si="34"/>
        <v/>
      </c>
    </row>
    <row r="1140" spans="1:6" ht="14.1" customHeight="1">
      <c r="A1140" s="14">
        <f t="shared" si="33"/>
        <v>1136</v>
      </c>
      <c r="B1140" s="18"/>
      <c r="C1140" s="16" t="s">
        <v>1679</v>
      </c>
      <c r="D1140" s="19"/>
      <c r="E1140" s="19"/>
      <c r="F1140" s="203" t="str">
        <f t="shared" si="34"/>
        <v/>
      </c>
    </row>
    <row r="1141" spans="1:6" ht="14.1" customHeight="1">
      <c r="A1141" s="14">
        <f t="shared" si="33"/>
        <v>1137</v>
      </c>
      <c r="B1141" s="18"/>
      <c r="C1141" s="16" t="s">
        <v>1679</v>
      </c>
      <c r="D1141" s="19"/>
      <c r="E1141" s="19"/>
      <c r="F1141" s="203" t="str">
        <f t="shared" si="34"/>
        <v/>
      </c>
    </row>
    <row r="1142" spans="1:6" ht="14.1" customHeight="1">
      <c r="A1142" s="14">
        <f t="shared" si="33"/>
        <v>1138</v>
      </c>
      <c r="B1142" s="18"/>
      <c r="C1142" s="16" t="s">
        <v>1679</v>
      </c>
      <c r="D1142" s="19"/>
      <c r="E1142" s="19"/>
      <c r="F1142" s="203" t="str">
        <f t="shared" si="34"/>
        <v/>
      </c>
    </row>
    <row r="1143" spans="1:6" ht="14.1" customHeight="1">
      <c r="A1143" s="14">
        <f t="shared" si="33"/>
        <v>1139</v>
      </c>
      <c r="B1143" s="18"/>
      <c r="C1143" s="16" t="s">
        <v>1679</v>
      </c>
      <c r="D1143" s="19"/>
      <c r="E1143" s="19"/>
      <c r="F1143" s="203" t="str">
        <f t="shared" si="34"/>
        <v/>
      </c>
    </row>
    <row r="1144" spans="1:6" ht="14.1" customHeight="1">
      <c r="A1144" s="14">
        <f t="shared" si="33"/>
        <v>1140</v>
      </c>
      <c r="B1144" s="18"/>
      <c r="C1144" s="16" t="s">
        <v>1679</v>
      </c>
      <c r="D1144" s="19"/>
      <c r="E1144" s="19"/>
      <c r="F1144" s="203" t="str">
        <f t="shared" si="34"/>
        <v/>
      </c>
    </row>
    <row r="1145" spans="1:6" ht="14.1" customHeight="1">
      <c r="A1145" s="14">
        <f t="shared" si="33"/>
        <v>1141</v>
      </c>
      <c r="B1145" s="18"/>
      <c r="C1145" s="16" t="s">
        <v>1679</v>
      </c>
      <c r="D1145" s="19"/>
      <c r="E1145" s="19"/>
      <c r="F1145" s="203" t="str">
        <f t="shared" si="34"/>
        <v/>
      </c>
    </row>
    <row r="1146" spans="1:6" ht="14.1" customHeight="1">
      <c r="A1146" s="14">
        <f t="shared" si="33"/>
        <v>1142</v>
      </c>
      <c r="B1146" s="18"/>
      <c r="C1146" s="16" t="s">
        <v>1679</v>
      </c>
      <c r="D1146" s="19"/>
      <c r="E1146" s="19"/>
      <c r="F1146" s="203" t="str">
        <f t="shared" si="34"/>
        <v/>
      </c>
    </row>
    <row r="1147" spans="1:6" ht="14.1" customHeight="1">
      <c r="A1147" s="14">
        <f t="shared" si="33"/>
        <v>1143</v>
      </c>
      <c r="B1147" s="18"/>
      <c r="C1147" s="16" t="s">
        <v>1679</v>
      </c>
      <c r="D1147" s="19"/>
      <c r="E1147" s="19"/>
      <c r="F1147" s="203" t="str">
        <f t="shared" si="34"/>
        <v/>
      </c>
    </row>
    <row r="1148" spans="1:6" ht="14.1" customHeight="1">
      <c r="A1148" s="14">
        <f t="shared" si="33"/>
        <v>1144</v>
      </c>
      <c r="B1148" s="18"/>
      <c r="C1148" s="16" t="s">
        <v>1679</v>
      </c>
      <c r="D1148" s="19"/>
      <c r="E1148" s="19"/>
      <c r="F1148" s="203" t="str">
        <f t="shared" si="34"/>
        <v/>
      </c>
    </row>
    <row r="1149" spans="1:6" ht="14.1" customHeight="1">
      <c r="A1149" s="14">
        <f t="shared" si="33"/>
        <v>1145</v>
      </c>
      <c r="B1149" s="18"/>
      <c r="C1149" s="16" t="s">
        <v>1679</v>
      </c>
      <c r="D1149" s="19"/>
      <c r="E1149" s="19"/>
      <c r="F1149" s="203" t="str">
        <f t="shared" si="34"/>
        <v/>
      </c>
    </row>
    <row r="1150" spans="1:6" ht="14.1" customHeight="1">
      <c r="A1150" s="14">
        <f t="shared" si="33"/>
        <v>1146</v>
      </c>
      <c r="B1150" s="18"/>
      <c r="C1150" s="16" t="s">
        <v>1679</v>
      </c>
      <c r="D1150" s="19"/>
      <c r="E1150" s="19"/>
      <c r="F1150" s="203" t="str">
        <f t="shared" si="34"/>
        <v/>
      </c>
    </row>
    <row r="1151" spans="1:6" ht="14.1" customHeight="1">
      <c r="A1151" s="14">
        <f t="shared" si="33"/>
        <v>1147</v>
      </c>
      <c r="B1151" s="18"/>
      <c r="C1151" s="16" t="s">
        <v>1679</v>
      </c>
      <c r="D1151" s="19"/>
      <c r="E1151" s="19"/>
      <c r="F1151" s="203" t="str">
        <f t="shared" si="34"/>
        <v/>
      </c>
    </row>
    <row r="1152" spans="1:6" ht="14.1" customHeight="1">
      <c r="A1152" s="14">
        <f t="shared" si="33"/>
        <v>1148</v>
      </c>
      <c r="B1152" s="18"/>
      <c r="C1152" s="16" t="s">
        <v>1679</v>
      </c>
      <c r="D1152" s="19"/>
      <c r="E1152" s="19"/>
      <c r="F1152" s="203" t="str">
        <f t="shared" si="34"/>
        <v/>
      </c>
    </row>
    <row r="1153" spans="1:6" ht="14.1" customHeight="1">
      <c r="A1153" s="14">
        <f t="shared" si="33"/>
        <v>1149</v>
      </c>
      <c r="B1153" s="18"/>
      <c r="C1153" s="16" t="s">
        <v>1679</v>
      </c>
      <c r="D1153" s="19"/>
      <c r="E1153" s="19"/>
      <c r="F1153" s="203" t="str">
        <f t="shared" si="34"/>
        <v/>
      </c>
    </row>
    <row r="1154" spans="1:6" ht="14.1" customHeight="1">
      <c r="A1154" s="14">
        <f t="shared" si="33"/>
        <v>1150</v>
      </c>
      <c r="B1154" s="18"/>
      <c r="C1154" s="16" t="s">
        <v>1679</v>
      </c>
      <c r="D1154" s="19"/>
      <c r="E1154" s="19"/>
      <c r="F1154" s="203" t="str">
        <f t="shared" si="34"/>
        <v/>
      </c>
    </row>
    <row r="1155" spans="1:6" ht="14.1" customHeight="1">
      <c r="A1155" s="14">
        <f t="shared" ref="A1155:A1218" si="35">A1154+1</f>
        <v>1151</v>
      </c>
      <c r="B1155" s="18"/>
      <c r="C1155" s="16" t="s">
        <v>1679</v>
      </c>
      <c r="D1155" s="19"/>
      <c r="E1155" s="19"/>
      <c r="F1155" s="203" t="str">
        <f t="shared" si="34"/>
        <v/>
      </c>
    </row>
    <row r="1156" spans="1:6" ht="14.1" customHeight="1">
      <c r="A1156" s="14">
        <f t="shared" si="35"/>
        <v>1152</v>
      </c>
      <c r="B1156" s="18"/>
      <c r="C1156" s="16" t="s">
        <v>1679</v>
      </c>
      <c r="D1156" s="19"/>
      <c r="E1156" s="19"/>
      <c r="F1156" s="203" t="str">
        <f t="shared" si="34"/>
        <v/>
      </c>
    </row>
    <row r="1157" spans="1:6" ht="14.1" customHeight="1">
      <c r="A1157" s="14">
        <f t="shared" si="35"/>
        <v>1153</v>
      </c>
      <c r="B1157" s="18"/>
      <c r="C1157" s="16" t="s">
        <v>1679</v>
      </c>
      <c r="D1157" s="19"/>
      <c r="E1157" s="19"/>
      <c r="F1157" s="203" t="str">
        <f t="shared" si="34"/>
        <v/>
      </c>
    </row>
    <row r="1158" spans="1:6" ht="14.1" customHeight="1">
      <c r="A1158" s="14">
        <f t="shared" si="35"/>
        <v>1154</v>
      </c>
      <c r="B1158" s="18"/>
      <c r="C1158" s="16" t="s">
        <v>1679</v>
      </c>
      <c r="D1158" s="19"/>
      <c r="E1158" s="19"/>
      <c r="F1158" s="203" t="str">
        <f t="shared" si="34"/>
        <v/>
      </c>
    </row>
    <row r="1159" spans="1:6" ht="14.1" customHeight="1">
      <c r="A1159" s="14">
        <f t="shared" si="35"/>
        <v>1155</v>
      </c>
      <c r="B1159" s="18"/>
      <c r="C1159" s="16" t="s">
        <v>1679</v>
      </c>
      <c r="D1159" s="19"/>
      <c r="E1159" s="19"/>
      <c r="F1159" s="203" t="str">
        <f t="shared" si="34"/>
        <v/>
      </c>
    </row>
    <row r="1160" spans="1:6" ht="14.1" customHeight="1">
      <c r="A1160" s="14">
        <f t="shared" si="35"/>
        <v>1156</v>
      </c>
      <c r="B1160" s="18"/>
      <c r="C1160" s="16" t="s">
        <v>1679</v>
      </c>
      <c r="D1160" s="19"/>
      <c r="E1160" s="19"/>
      <c r="F1160" s="203" t="str">
        <f t="shared" si="34"/>
        <v/>
      </c>
    </row>
    <row r="1161" spans="1:6" ht="14.1" customHeight="1">
      <c r="A1161" s="14">
        <f t="shared" si="35"/>
        <v>1157</v>
      </c>
      <c r="B1161" s="18"/>
      <c r="C1161" s="16" t="s">
        <v>1679</v>
      </c>
      <c r="D1161" s="19"/>
      <c r="E1161" s="19"/>
      <c r="F1161" s="203" t="str">
        <f t="shared" si="34"/>
        <v/>
      </c>
    </row>
    <row r="1162" spans="1:6" ht="14.1" customHeight="1">
      <c r="A1162" s="14">
        <f t="shared" si="35"/>
        <v>1158</v>
      </c>
      <c r="B1162" s="18"/>
      <c r="C1162" s="16" t="s">
        <v>1679</v>
      </c>
      <c r="D1162" s="19"/>
      <c r="E1162" s="19"/>
      <c r="F1162" s="203" t="str">
        <f t="shared" si="34"/>
        <v/>
      </c>
    </row>
    <row r="1163" spans="1:6" ht="14.1" customHeight="1">
      <c r="A1163" s="14">
        <f t="shared" si="35"/>
        <v>1159</v>
      </c>
      <c r="B1163" s="18"/>
      <c r="C1163" s="16" t="s">
        <v>1679</v>
      </c>
      <c r="D1163" s="19"/>
      <c r="E1163" s="19"/>
      <c r="F1163" s="203" t="str">
        <f t="shared" si="34"/>
        <v/>
      </c>
    </row>
    <row r="1164" spans="1:6" ht="14.1" customHeight="1">
      <c r="A1164" s="14">
        <f t="shared" si="35"/>
        <v>1160</v>
      </c>
      <c r="B1164" s="18"/>
      <c r="C1164" s="16" t="s">
        <v>1679</v>
      </c>
      <c r="D1164" s="19"/>
      <c r="E1164" s="19"/>
      <c r="F1164" s="203" t="str">
        <f t="shared" si="34"/>
        <v/>
      </c>
    </row>
    <row r="1165" spans="1:6" ht="14.1" customHeight="1">
      <c r="A1165" s="14">
        <f t="shared" si="35"/>
        <v>1161</v>
      </c>
      <c r="B1165" s="18"/>
      <c r="C1165" s="16" t="s">
        <v>1679</v>
      </c>
      <c r="D1165" s="19"/>
      <c r="E1165" s="19"/>
      <c r="F1165" s="203" t="str">
        <f t="shared" si="34"/>
        <v/>
      </c>
    </row>
    <row r="1166" spans="1:6" ht="14.1" customHeight="1">
      <c r="A1166" s="14">
        <f t="shared" si="35"/>
        <v>1162</v>
      </c>
      <c r="B1166" s="18"/>
      <c r="C1166" s="16" t="s">
        <v>1679</v>
      </c>
      <c r="D1166" s="19"/>
      <c r="E1166" s="19"/>
      <c r="F1166" s="203" t="str">
        <f t="shared" si="34"/>
        <v/>
      </c>
    </row>
    <row r="1167" spans="1:6" ht="14.1" customHeight="1">
      <c r="A1167" s="14">
        <f t="shared" si="35"/>
        <v>1163</v>
      </c>
      <c r="B1167" s="18"/>
      <c r="C1167" s="16" t="s">
        <v>1679</v>
      </c>
      <c r="D1167" s="19"/>
      <c r="E1167" s="19"/>
      <c r="F1167" s="203" t="str">
        <f t="shared" si="34"/>
        <v/>
      </c>
    </row>
    <row r="1168" spans="1:6" ht="14.1" customHeight="1">
      <c r="A1168" s="14">
        <f t="shared" si="35"/>
        <v>1164</v>
      </c>
      <c r="B1168" s="18"/>
      <c r="C1168" s="16" t="s">
        <v>1679</v>
      </c>
      <c r="D1168" s="19"/>
      <c r="E1168" s="19"/>
      <c r="F1168" s="203" t="str">
        <f t="shared" si="34"/>
        <v/>
      </c>
    </row>
    <row r="1169" spans="1:6" ht="14.1" customHeight="1">
      <c r="A1169" s="14">
        <f t="shared" si="35"/>
        <v>1165</v>
      </c>
      <c r="B1169" s="18"/>
      <c r="C1169" s="16" t="s">
        <v>1679</v>
      </c>
      <c r="D1169" s="19"/>
      <c r="E1169" s="19"/>
      <c r="F1169" s="203" t="str">
        <f t="shared" si="34"/>
        <v/>
      </c>
    </row>
    <row r="1170" spans="1:6" ht="14.1" customHeight="1">
      <c r="A1170" s="14">
        <f t="shared" si="35"/>
        <v>1166</v>
      </c>
      <c r="B1170" s="18"/>
      <c r="C1170" s="16" t="s">
        <v>1679</v>
      </c>
      <c r="D1170" s="19"/>
      <c r="E1170" s="19"/>
      <c r="F1170" s="203" t="str">
        <f t="shared" si="34"/>
        <v/>
      </c>
    </row>
    <row r="1171" spans="1:6" ht="14.1" customHeight="1">
      <c r="A1171" s="14">
        <f t="shared" si="35"/>
        <v>1167</v>
      </c>
      <c r="B1171" s="18"/>
      <c r="C1171" s="16" t="s">
        <v>1679</v>
      </c>
      <c r="D1171" s="19"/>
      <c r="E1171" s="19"/>
      <c r="F1171" s="203" t="str">
        <f t="shared" si="34"/>
        <v/>
      </c>
    </row>
    <row r="1172" spans="1:6" ht="14.1" customHeight="1">
      <c r="A1172" s="14">
        <f t="shared" si="35"/>
        <v>1168</v>
      </c>
      <c r="B1172" s="18"/>
      <c r="C1172" s="16" t="s">
        <v>1679</v>
      </c>
      <c r="D1172" s="19"/>
      <c r="E1172" s="19"/>
      <c r="F1172" s="203" t="str">
        <f t="shared" si="34"/>
        <v/>
      </c>
    </row>
    <row r="1173" spans="1:6" ht="14.1" customHeight="1">
      <c r="A1173" s="14">
        <f t="shared" si="35"/>
        <v>1169</v>
      </c>
      <c r="B1173" s="18"/>
      <c r="C1173" s="16" t="s">
        <v>1679</v>
      </c>
      <c r="D1173" s="19"/>
      <c r="E1173" s="19"/>
      <c r="F1173" s="203" t="str">
        <f t="shared" si="34"/>
        <v/>
      </c>
    </row>
    <row r="1174" spans="1:6" ht="14.1" customHeight="1">
      <c r="A1174" s="14">
        <f t="shared" si="35"/>
        <v>1170</v>
      </c>
      <c r="B1174" s="18"/>
      <c r="C1174" s="16" t="s">
        <v>1679</v>
      </c>
      <c r="D1174" s="19"/>
      <c r="E1174" s="19"/>
      <c r="F1174" s="203" t="str">
        <f t="shared" si="34"/>
        <v/>
      </c>
    </row>
    <row r="1175" spans="1:6" ht="14.1" customHeight="1">
      <c r="A1175" s="14">
        <f t="shared" si="35"/>
        <v>1171</v>
      </c>
      <c r="B1175" s="18"/>
      <c r="C1175" s="16" t="s">
        <v>1679</v>
      </c>
      <c r="D1175" s="19"/>
      <c r="E1175" s="19"/>
      <c r="F1175" s="203" t="str">
        <f t="shared" si="34"/>
        <v/>
      </c>
    </row>
    <row r="1176" spans="1:6" ht="14.1" customHeight="1">
      <c r="A1176" s="14">
        <f t="shared" si="35"/>
        <v>1172</v>
      </c>
      <c r="B1176" s="18"/>
      <c r="C1176" s="16" t="s">
        <v>1679</v>
      </c>
      <c r="D1176" s="19"/>
      <c r="E1176" s="19"/>
      <c r="F1176" s="203" t="str">
        <f t="shared" si="34"/>
        <v/>
      </c>
    </row>
    <row r="1177" spans="1:6" ht="14.1" customHeight="1">
      <c r="A1177" s="14">
        <f t="shared" si="35"/>
        <v>1173</v>
      </c>
      <c r="B1177" s="18"/>
      <c r="C1177" s="16" t="s">
        <v>1679</v>
      </c>
      <c r="D1177" s="19"/>
      <c r="E1177" s="19"/>
      <c r="F1177" s="203" t="str">
        <f t="shared" si="34"/>
        <v/>
      </c>
    </row>
    <row r="1178" spans="1:6" ht="14.1" customHeight="1">
      <c r="A1178" s="14">
        <f t="shared" si="35"/>
        <v>1174</v>
      </c>
      <c r="B1178" s="18"/>
      <c r="C1178" s="16" t="s">
        <v>1679</v>
      </c>
      <c r="D1178" s="19"/>
      <c r="E1178" s="19"/>
      <c r="F1178" s="203" t="str">
        <f t="shared" si="34"/>
        <v/>
      </c>
    </row>
    <row r="1179" spans="1:6" ht="14.1" customHeight="1">
      <c r="A1179" s="14">
        <f t="shared" si="35"/>
        <v>1175</v>
      </c>
      <c r="B1179" s="18"/>
      <c r="C1179" s="16" t="s">
        <v>1679</v>
      </c>
      <c r="D1179" s="19"/>
      <c r="E1179" s="19"/>
      <c r="F1179" s="203" t="str">
        <f t="shared" si="34"/>
        <v/>
      </c>
    </row>
    <row r="1180" spans="1:6" ht="14.1" customHeight="1">
      <c r="A1180" s="14">
        <f t="shared" si="35"/>
        <v>1176</v>
      </c>
      <c r="B1180" s="18"/>
      <c r="C1180" s="16" t="s">
        <v>1679</v>
      </c>
      <c r="D1180" s="19"/>
      <c r="E1180" s="19"/>
      <c r="F1180" s="203" t="str">
        <f t="shared" si="34"/>
        <v/>
      </c>
    </row>
    <row r="1181" spans="1:6" ht="14.1" customHeight="1">
      <c r="A1181" s="14">
        <f t="shared" si="35"/>
        <v>1177</v>
      </c>
      <c r="B1181" s="18"/>
      <c r="C1181" s="16" t="s">
        <v>1679</v>
      </c>
      <c r="D1181" s="19"/>
      <c r="E1181" s="19"/>
      <c r="F1181" s="203" t="str">
        <f t="shared" si="34"/>
        <v/>
      </c>
    </row>
    <row r="1182" spans="1:6" ht="14.1" customHeight="1">
      <c r="A1182" s="14">
        <f t="shared" si="35"/>
        <v>1178</v>
      </c>
      <c r="B1182" s="18"/>
      <c r="C1182" s="16" t="s">
        <v>1679</v>
      </c>
      <c r="D1182" s="19"/>
      <c r="E1182" s="19"/>
      <c r="F1182" s="203" t="str">
        <f t="shared" si="34"/>
        <v/>
      </c>
    </row>
    <row r="1183" spans="1:6" ht="14.1" customHeight="1">
      <c r="A1183" s="14">
        <f t="shared" si="35"/>
        <v>1179</v>
      </c>
      <c r="B1183" s="18"/>
      <c r="C1183" s="16" t="s">
        <v>1679</v>
      </c>
      <c r="D1183" s="19"/>
      <c r="E1183" s="19"/>
      <c r="F1183" s="203" t="str">
        <f t="shared" si="34"/>
        <v/>
      </c>
    </row>
    <row r="1184" spans="1:6" ht="14.1" customHeight="1">
      <c r="A1184" s="14">
        <f t="shared" si="35"/>
        <v>1180</v>
      </c>
      <c r="B1184" s="18"/>
      <c r="C1184" s="16" t="s">
        <v>1679</v>
      </c>
      <c r="D1184" s="19"/>
      <c r="E1184" s="19"/>
      <c r="F1184" s="203" t="str">
        <f t="shared" si="34"/>
        <v/>
      </c>
    </row>
    <row r="1185" spans="1:6" ht="14.1" customHeight="1">
      <c r="A1185" s="14">
        <f t="shared" si="35"/>
        <v>1181</v>
      </c>
      <c r="B1185" s="18"/>
      <c r="C1185" s="16" t="s">
        <v>1679</v>
      </c>
      <c r="D1185" s="19"/>
      <c r="E1185" s="19"/>
      <c r="F1185" s="203" t="str">
        <f t="shared" si="34"/>
        <v/>
      </c>
    </row>
    <row r="1186" spans="1:6" ht="14.1" customHeight="1">
      <c r="A1186" s="14">
        <f t="shared" si="35"/>
        <v>1182</v>
      </c>
      <c r="B1186" s="18"/>
      <c r="C1186" s="16" t="s">
        <v>1679</v>
      </c>
      <c r="D1186" s="19"/>
      <c r="E1186" s="19"/>
      <c r="F1186" s="203" t="str">
        <f t="shared" si="34"/>
        <v/>
      </c>
    </row>
    <row r="1187" spans="1:6" ht="14.1" customHeight="1">
      <c r="A1187" s="14">
        <f t="shared" si="35"/>
        <v>1183</v>
      </c>
      <c r="B1187" s="18"/>
      <c r="C1187" s="16" t="s">
        <v>1679</v>
      </c>
      <c r="D1187" s="19"/>
      <c r="E1187" s="19"/>
      <c r="F1187" s="203" t="str">
        <f t="shared" si="34"/>
        <v/>
      </c>
    </row>
    <row r="1188" spans="1:6" ht="14.1" customHeight="1">
      <c r="A1188" s="14">
        <f t="shared" si="35"/>
        <v>1184</v>
      </c>
      <c r="B1188" s="18"/>
      <c r="C1188" s="16" t="s">
        <v>1679</v>
      </c>
      <c r="D1188" s="19"/>
      <c r="E1188" s="19"/>
      <c r="F1188" s="203" t="str">
        <f t="shared" si="34"/>
        <v/>
      </c>
    </row>
    <row r="1189" spans="1:6" ht="14.1" customHeight="1">
      <c r="A1189" s="14">
        <f t="shared" si="35"/>
        <v>1185</v>
      </c>
      <c r="B1189" s="18"/>
      <c r="C1189" s="16" t="s">
        <v>1679</v>
      </c>
      <c r="D1189" s="19"/>
      <c r="E1189" s="19"/>
      <c r="F1189" s="203" t="str">
        <f t="shared" si="34"/>
        <v/>
      </c>
    </row>
    <row r="1190" spans="1:6" ht="14.1" customHeight="1">
      <c r="A1190" s="14">
        <f t="shared" si="35"/>
        <v>1186</v>
      </c>
      <c r="B1190" s="18"/>
      <c r="C1190" s="16" t="s">
        <v>1679</v>
      </c>
      <c r="D1190" s="19"/>
      <c r="E1190" s="19"/>
      <c r="F1190" s="203" t="str">
        <f t="shared" si="34"/>
        <v/>
      </c>
    </row>
    <row r="1191" spans="1:6" ht="14.1" customHeight="1">
      <c r="A1191" s="14">
        <f t="shared" si="35"/>
        <v>1187</v>
      </c>
      <c r="B1191" s="18"/>
      <c r="C1191" s="16" t="s">
        <v>1679</v>
      </c>
      <c r="D1191" s="19"/>
      <c r="E1191" s="19"/>
      <c r="F1191" s="203" t="str">
        <f t="shared" si="34"/>
        <v/>
      </c>
    </row>
    <row r="1192" spans="1:6" ht="14.1" customHeight="1">
      <c r="A1192" s="14">
        <f t="shared" si="35"/>
        <v>1188</v>
      </c>
      <c r="B1192" s="18"/>
      <c r="C1192" s="16" t="s">
        <v>1679</v>
      </c>
      <c r="D1192" s="19"/>
      <c r="E1192" s="19"/>
      <c r="F1192" s="203" t="str">
        <f t="shared" si="34"/>
        <v/>
      </c>
    </row>
    <row r="1193" spans="1:6" ht="14.1" customHeight="1">
      <c r="A1193" s="14">
        <f t="shared" si="35"/>
        <v>1189</v>
      </c>
      <c r="B1193" s="18"/>
      <c r="C1193" s="16" t="s">
        <v>1679</v>
      </c>
      <c r="D1193" s="19"/>
      <c r="E1193" s="19"/>
      <c r="F1193" s="203" t="str">
        <f t="shared" si="34"/>
        <v/>
      </c>
    </row>
    <row r="1194" spans="1:6" ht="14.1" customHeight="1">
      <c r="A1194" s="14">
        <f t="shared" si="35"/>
        <v>1190</v>
      </c>
      <c r="B1194" s="18"/>
      <c r="C1194" s="16" t="s">
        <v>1679</v>
      </c>
      <c r="D1194" s="19"/>
      <c r="E1194" s="19"/>
      <c r="F1194" s="203" t="str">
        <f t="shared" ref="F1194:F1257" si="36">IF(AND(B1195&lt;&gt;"",B1194=""),"Don't skip lines",IF(AND(D1194="",B1194&lt;&gt;""),"Enter U-value",IF(AND(D1194&lt;&gt;"",B1194=""),"Enter Description","")))</f>
        <v/>
      </c>
    </row>
    <row r="1195" spans="1:6" ht="14.1" customHeight="1">
      <c r="A1195" s="14">
        <f t="shared" si="35"/>
        <v>1191</v>
      </c>
      <c r="B1195" s="18"/>
      <c r="C1195" s="16" t="s">
        <v>1679</v>
      </c>
      <c r="D1195" s="19"/>
      <c r="E1195" s="19"/>
      <c r="F1195" s="203" t="str">
        <f t="shared" si="36"/>
        <v/>
      </c>
    </row>
    <row r="1196" spans="1:6" ht="14.1" customHeight="1">
      <c r="A1196" s="14">
        <f t="shared" si="35"/>
        <v>1192</v>
      </c>
      <c r="B1196" s="18"/>
      <c r="C1196" s="16" t="s">
        <v>1679</v>
      </c>
      <c r="D1196" s="19"/>
      <c r="E1196" s="19"/>
      <c r="F1196" s="203" t="str">
        <f t="shared" si="36"/>
        <v/>
      </c>
    </row>
    <row r="1197" spans="1:6" ht="14.1" customHeight="1">
      <c r="A1197" s="14">
        <f t="shared" si="35"/>
        <v>1193</v>
      </c>
      <c r="B1197" s="18"/>
      <c r="C1197" s="16" t="s">
        <v>1679</v>
      </c>
      <c r="D1197" s="19"/>
      <c r="E1197" s="19"/>
      <c r="F1197" s="203" t="str">
        <f t="shared" si="36"/>
        <v/>
      </c>
    </row>
    <row r="1198" spans="1:6" ht="14.1" customHeight="1">
      <c r="A1198" s="14">
        <f t="shared" si="35"/>
        <v>1194</v>
      </c>
      <c r="B1198" s="18"/>
      <c r="C1198" s="16" t="s">
        <v>1679</v>
      </c>
      <c r="D1198" s="19"/>
      <c r="E1198" s="19"/>
      <c r="F1198" s="203" t="str">
        <f t="shared" si="36"/>
        <v/>
      </c>
    </row>
    <row r="1199" spans="1:6" ht="14.1" customHeight="1">
      <c r="A1199" s="14">
        <f t="shared" si="35"/>
        <v>1195</v>
      </c>
      <c r="B1199" s="18"/>
      <c r="C1199" s="16" t="s">
        <v>1679</v>
      </c>
      <c r="D1199" s="19"/>
      <c r="E1199" s="19"/>
      <c r="F1199" s="203" t="str">
        <f t="shared" si="36"/>
        <v/>
      </c>
    </row>
    <row r="1200" spans="1:6" ht="14.1" customHeight="1">
      <c r="A1200" s="14">
        <f t="shared" si="35"/>
        <v>1196</v>
      </c>
      <c r="B1200" s="18"/>
      <c r="C1200" s="16" t="s">
        <v>1679</v>
      </c>
      <c r="D1200" s="19"/>
      <c r="E1200" s="19"/>
      <c r="F1200" s="203" t="str">
        <f t="shared" si="36"/>
        <v/>
      </c>
    </row>
    <row r="1201" spans="1:6" ht="14.1" customHeight="1">
      <c r="A1201" s="14">
        <f t="shared" si="35"/>
        <v>1197</v>
      </c>
      <c r="B1201" s="18"/>
      <c r="C1201" s="16" t="s">
        <v>1679</v>
      </c>
      <c r="D1201" s="19"/>
      <c r="E1201" s="19"/>
      <c r="F1201" s="203" t="str">
        <f t="shared" si="36"/>
        <v/>
      </c>
    </row>
    <row r="1202" spans="1:6" ht="14.1" customHeight="1">
      <c r="A1202" s="14">
        <f t="shared" si="35"/>
        <v>1198</v>
      </c>
      <c r="B1202" s="18"/>
      <c r="C1202" s="16" t="s">
        <v>1679</v>
      </c>
      <c r="D1202" s="19"/>
      <c r="E1202" s="19"/>
      <c r="F1202" s="203" t="str">
        <f t="shared" si="36"/>
        <v/>
      </c>
    </row>
    <row r="1203" spans="1:6" ht="14.1" customHeight="1">
      <c r="A1203" s="14">
        <f t="shared" si="35"/>
        <v>1199</v>
      </c>
      <c r="B1203" s="18"/>
      <c r="C1203" s="16" t="s">
        <v>1679</v>
      </c>
      <c r="D1203" s="19"/>
      <c r="E1203" s="19"/>
      <c r="F1203" s="203" t="str">
        <f t="shared" si="36"/>
        <v/>
      </c>
    </row>
    <row r="1204" spans="1:6" ht="14.1" customHeight="1">
      <c r="A1204" s="14">
        <f t="shared" si="35"/>
        <v>1200</v>
      </c>
      <c r="B1204" s="18"/>
      <c r="C1204" s="16" t="s">
        <v>1679</v>
      </c>
      <c r="D1204" s="19"/>
      <c r="E1204" s="19"/>
      <c r="F1204" s="203" t="str">
        <f t="shared" si="36"/>
        <v/>
      </c>
    </row>
    <row r="1205" spans="1:6" ht="14.1" customHeight="1">
      <c r="A1205" s="14">
        <f t="shared" si="35"/>
        <v>1201</v>
      </c>
      <c r="B1205" s="18"/>
      <c r="C1205" s="16" t="s">
        <v>1679</v>
      </c>
      <c r="D1205" s="19"/>
      <c r="E1205" s="19"/>
      <c r="F1205" s="203" t="str">
        <f t="shared" si="36"/>
        <v/>
      </c>
    </row>
    <row r="1206" spans="1:6" ht="14.1" customHeight="1">
      <c r="A1206" s="14">
        <f t="shared" si="35"/>
        <v>1202</v>
      </c>
      <c r="B1206" s="18"/>
      <c r="C1206" s="16" t="s">
        <v>1679</v>
      </c>
      <c r="D1206" s="19"/>
      <c r="E1206" s="19"/>
      <c r="F1206" s="203" t="str">
        <f t="shared" si="36"/>
        <v/>
      </c>
    </row>
    <row r="1207" spans="1:6" ht="14.1" customHeight="1">
      <c r="A1207" s="14">
        <f t="shared" si="35"/>
        <v>1203</v>
      </c>
      <c r="B1207" s="18"/>
      <c r="C1207" s="16" t="s">
        <v>1679</v>
      </c>
      <c r="D1207" s="19"/>
      <c r="E1207" s="19"/>
      <c r="F1207" s="203" t="str">
        <f t="shared" si="36"/>
        <v/>
      </c>
    </row>
    <row r="1208" spans="1:6" ht="14.1" customHeight="1">
      <c r="A1208" s="14">
        <f t="shared" si="35"/>
        <v>1204</v>
      </c>
      <c r="B1208" s="18"/>
      <c r="C1208" s="16" t="s">
        <v>1679</v>
      </c>
      <c r="D1208" s="19"/>
      <c r="E1208" s="19"/>
      <c r="F1208" s="203" t="str">
        <f t="shared" si="36"/>
        <v/>
      </c>
    </row>
    <row r="1209" spans="1:6" ht="14.1" customHeight="1">
      <c r="A1209" s="14">
        <f t="shared" si="35"/>
        <v>1205</v>
      </c>
      <c r="B1209" s="18"/>
      <c r="C1209" s="16" t="s">
        <v>1679</v>
      </c>
      <c r="D1209" s="19"/>
      <c r="E1209" s="19"/>
      <c r="F1209" s="203" t="str">
        <f t="shared" si="36"/>
        <v/>
      </c>
    </row>
    <row r="1210" spans="1:6" ht="14.1" customHeight="1">
      <c r="A1210" s="14">
        <f t="shared" si="35"/>
        <v>1206</v>
      </c>
      <c r="B1210" s="18"/>
      <c r="C1210" s="16" t="s">
        <v>1679</v>
      </c>
      <c r="D1210" s="19"/>
      <c r="E1210" s="19"/>
      <c r="F1210" s="203" t="str">
        <f t="shared" si="36"/>
        <v/>
      </c>
    </row>
    <row r="1211" spans="1:6" ht="14.1" customHeight="1">
      <c r="A1211" s="14">
        <f t="shared" si="35"/>
        <v>1207</v>
      </c>
      <c r="B1211" s="18"/>
      <c r="C1211" s="16" t="s">
        <v>1679</v>
      </c>
      <c r="D1211" s="19"/>
      <c r="E1211" s="19"/>
      <c r="F1211" s="203" t="str">
        <f t="shared" si="36"/>
        <v/>
      </c>
    </row>
    <row r="1212" spans="1:6" ht="14.1" customHeight="1">
      <c r="A1212" s="14">
        <f t="shared" si="35"/>
        <v>1208</v>
      </c>
      <c r="B1212" s="18"/>
      <c r="C1212" s="16" t="s">
        <v>1679</v>
      </c>
      <c r="D1212" s="19"/>
      <c r="E1212" s="19"/>
      <c r="F1212" s="203" t="str">
        <f t="shared" si="36"/>
        <v/>
      </c>
    </row>
    <row r="1213" spans="1:6" ht="14.1" customHeight="1">
      <c r="A1213" s="14">
        <f t="shared" si="35"/>
        <v>1209</v>
      </c>
      <c r="B1213" s="18"/>
      <c r="C1213" s="16" t="s">
        <v>1679</v>
      </c>
      <c r="D1213" s="19"/>
      <c r="E1213" s="19"/>
      <c r="F1213" s="203" t="str">
        <f t="shared" si="36"/>
        <v/>
      </c>
    </row>
    <row r="1214" spans="1:6" ht="14.1" customHeight="1">
      <c r="A1214" s="14">
        <f t="shared" si="35"/>
        <v>1210</v>
      </c>
      <c r="B1214" s="18"/>
      <c r="C1214" s="16" t="s">
        <v>1679</v>
      </c>
      <c r="D1214" s="19"/>
      <c r="E1214" s="19"/>
      <c r="F1214" s="203" t="str">
        <f t="shared" si="36"/>
        <v/>
      </c>
    </row>
    <row r="1215" spans="1:6" ht="14.1" customHeight="1">
      <c r="A1215" s="14">
        <f t="shared" si="35"/>
        <v>1211</v>
      </c>
      <c r="B1215" s="18"/>
      <c r="C1215" s="16" t="s">
        <v>1679</v>
      </c>
      <c r="D1215" s="19"/>
      <c r="E1215" s="19"/>
      <c r="F1215" s="203" t="str">
        <f t="shared" si="36"/>
        <v/>
      </c>
    </row>
    <row r="1216" spans="1:6" ht="14.1" customHeight="1">
      <c r="A1216" s="14">
        <f t="shared" si="35"/>
        <v>1212</v>
      </c>
      <c r="B1216" s="18"/>
      <c r="C1216" s="16" t="s">
        <v>1679</v>
      </c>
      <c r="D1216" s="19"/>
      <c r="E1216" s="19"/>
      <c r="F1216" s="203" t="str">
        <f t="shared" si="36"/>
        <v/>
      </c>
    </row>
    <row r="1217" spans="1:6" ht="14.1" customHeight="1">
      <c r="A1217" s="14">
        <f t="shared" si="35"/>
        <v>1213</v>
      </c>
      <c r="B1217" s="18"/>
      <c r="C1217" s="16" t="s">
        <v>1679</v>
      </c>
      <c r="D1217" s="19"/>
      <c r="E1217" s="19"/>
      <c r="F1217" s="203" t="str">
        <f t="shared" si="36"/>
        <v/>
      </c>
    </row>
    <row r="1218" spans="1:6" ht="14.1" customHeight="1">
      <c r="A1218" s="14">
        <f t="shared" si="35"/>
        <v>1214</v>
      </c>
      <c r="B1218" s="18"/>
      <c r="C1218" s="16" t="s">
        <v>1679</v>
      </c>
      <c r="D1218" s="19"/>
      <c r="E1218" s="19"/>
      <c r="F1218" s="203" t="str">
        <f t="shared" si="36"/>
        <v/>
      </c>
    </row>
    <row r="1219" spans="1:6" ht="14.1" customHeight="1">
      <c r="A1219" s="14">
        <f t="shared" ref="A1219:A1282" si="37">A1218+1</f>
        <v>1215</v>
      </c>
      <c r="B1219" s="18"/>
      <c r="C1219" s="16" t="s">
        <v>1679</v>
      </c>
      <c r="D1219" s="19"/>
      <c r="E1219" s="19"/>
      <c r="F1219" s="203" t="str">
        <f t="shared" si="36"/>
        <v/>
      </c>
    </row>
    <row r="1220" spans="1:6" ht="14.1" customHeight="1">
      <c r="A1220" s="14">
        <f t="shared" si="37"/>
        <v>1216</v>
      </c>
      <c r="B1220" s="18"/>
      <c r="C1220" s="16" t="s">
        <v>1679</v>
      </c>
      <c r="D1220" s="19"/>
      <c r="E1220" s="19"/>
      <c r="F1220" s="203" t="str">
        <f t="shared" si="36"/>
        <v/>
      </c>
    </row>
    <row r="1221" spans="1:6" ht="14.1" customHeight="1">
      <c r="A1221" s="14">
        <f t="shared" si="37"/>
        <v>1217</v>
      </c>
      <c r="B1221" s="18"/>
      <c r="C1221" s="16" t="s">
        <v>1679</v>
      </c>
      <c r="D1221" s="19"/>
      <c r="E1221" s="19"/>
      <c r="F1221" s="203" t="str">
        <f t="shared" si="36"/>
        <v/>
      </c>
    </row>
    <row r="1222" spans="1:6" ht="14.1" customHeight="1">
      <c r="A1222" s="14">
        <f t="shared" si="37"/>
        <v>1218</v>
      </c>
      <c r="B1222" s="18"/>
      <c r="C1222" s="16" t="s">
        <v>1679</v>
      </c>
      <c r="D1222" s="19"/>
      <c r="E1222" s="19"/>
      <c r="F1222" s="203" t="str">
        <f t="shared" si="36"/>
        <v/>
      </c>
    </row>
    <row r="1223" spans="1:6" ht="14.1" customHeight="1">
      <c r="A1223" s="14">
        <f t="shared" si="37"/>
        <v>1219</v>
      </c>
      <c r="B1223" s="18"/>
      <c r="C1223" s="16" t="s">
        <v>1679</v>
      </c>
      <c r="D1223" s="19"/>
      <c r="E1223" s="19"/>
      <c r="F1223" s="203" t="str">
        <f t="shared" si="36"/>
        <v/>
      </c>
    </row>
    <row r="1224" spans="1:6" ht="14.1" customHeight="1">
      <c r="A1224" s="14">
        <f t="shared" si="37"/>
        <v>1220</v>
      </c>
      <c r="B1224" s="18"/>
      <c r="C1224" s="16" t="s">
        <v>1679</v>
      </c>
      <c r="D1224" s="19"/>
      <c r="E1224" s="19"/>
      <c r="F1224" s="203" t="str">
        <f t="shared" si="36"/>
        <v/>
      </c>
    </row>
    <row r="1225" spans="1:6" ht="14.1" customHeight="1">
      <c r="A1225" s="14">
        <f t="shared" si="37"/>
        <v>1221</v>
      </c>
      <c r="B1225" s="18"/>
      <c r="C1225" s="16" t="s">
        <v>1679</v>
      </c>
      <c r="D1225" s="19"/>
      <c r="E1225" s="19"/>
      <c r="F1225" s="203" t="str">
        <f t="shared" si="36"/>
        <v/>
      </c>
    </row>
    <row r="1226" spans="1:6" ht="14.1" customHeight="1">
      <c r="A1226" s="14">
        <f t="shared" si="37"/>
        <v>1222</v>
      </c>
      <c r="B1226" s="18"/>
      <c r="C1226" s="16" t="s">
        <v>1679</v>
      </c>
      <c r="D1226" s="19"/>
      <c r="E1226" s="19"/>
      <c r="F1226" s="203" t="str">
        <f t="shared" si="36"/>
        <v/>
      </c>
    </row>
    <row r="1227" spans="1:6" ht="14.1" customHeight="1">
      <c r="A1227" s="14">
        <f t="shared" si="37"/>
        <v>1223</v>
      </c>
      <c r="B1227" s="18"/>
      <c r="C1227" s="16" t="s">
        <v>1679</v>
      </c>
      <c r="D1227" s="19"/>
      <c r="E1227" s="19"/>
      <c r="F1227" s="203" t="str">
        <f t="shared" si="36"/>
        <v/>
      </c>
    </row>
    <row r="1228" spans="1:6" ht="14.1" customHeight="1">
      <c r="A1228" s="14">
        <f t="shared" si="37"/>
        <v>1224</v>
      </c>
      <c r="B1228" s="18"/>
      <c r="C1228" s="16" t="s">
        <v>1679</v>
      </c>
      <c r="D1228" s="19"/>
      <c r="E1228" s="19"/>
      <c r="F1228" s="203" t="str">
        <f t="shared" si="36"/>
        <v/>
      </c>
    </row>
    <row r="1229" spans="1:6" ht="14.1" customHeight="1">
      <c r="A1229" s="14">
        <f t="shared" si="37"/>
        <v>1225</v>
      </c>
      <c r="B1229" s="18"/>
      <c r="C1229" s="16" t="s">
        <v>1679</v>
      </c>
      <c r="D1229" s="19"/>
      <c r="E1229" s="19"/>
      <c r="F1229" s="203" t="str">
        <f t="shared" si="36"/>
        <v/>
      </c>
    </row>
    <row r="1230" spans="1:6" ht="14.1" customHeight="1">
      <c r="A1230" s="14">
        <f t="shared" si="37"/>
        <v>1226</v>
      </c>
      <c r="B1230" s="18"/>
      <c r="C1230" s="16" t="s">
        <v>1679</v>
      </c>
      <c r="D1230" s="19"/>
      <c r="E1230" s="19"/>
      <c r="F1230" s="203" t="str">
        <f t="shared" si="36"/>
        <v/>
      </c>
    </row>
    <row r="1231" spans="1:6" ht="14.1" customHeight="1">
      <c r="A1231" s="14">
        <f t="shared" si="37"/>
        <v>1227</v>
      </c>
      <c r="B1231" s="18"/>
      <c r="C1231" s="16" t="s">
        <v>1679</v>
      </c>
      <c r="D1231" s="19"/>
      <c r="E1231" s="19"/>
      <c r="F1231" s="203" t="str">
        <f t="shared" si="36"/>
        <v/>
      </c>
    </row>
    <row r="1232" spans="1:6" ht="14.1" customHeight="1">
      <c r="A1232" s="14">
        <f t="shared" si="37"/>
        <v>1228</v>
      </c>
      <c r="B1232" s="18"/>
      <c r="C1232" s="16" t="s">
        <v>1679</v>
      </c>
      <c r="D1232" s="19"/>
      <c r="E1232" s="19"/>
      <c r="F1232" s="203" t="str">
        <f t="shared" si="36"/>
        <v/>
      </c>
    </row>
    <row r="1233" spans="1:6" ht="14.1" customHeight="1">
      <c r="A1233" s="14">
        <f t="shared" si="37"/>
        <v>1229</v>
      </c>
      <c r="B1233" s="18"/>
      <c r="C1233" s="16" t="s">
        <v>1679</v>
      </c>
      <c r="D1233" s="19"/>
      <c r="E1233" s="19"/>
      <c r="F1233" s="203" t="str">
        <f t="shared" si="36"/>
        <v/>
      </c>
    </row>
    <row r="1234" spans="1:6" ht="14.1" customHeight="1">
      <c r="A1234" s="14">
        <f t="shared" si="37"/>
        <v>1230</v>
      </c>
      <c r="B1234" s="18"/>
      <c r="C1234" s="16" t="s">
        <v>1679</v>
      </c>
      <c r="D1234" s="19"/>
      <c r="E1234" s="19"/>
      <c r="F1234" s="203" t="str">
        <f t="shared" si="36"/>
        <v/>
      </c>
    </row>
    <row r="1235" spans="1:6" ht="14.1" customHeight="1">
      <c r="A1235" s="14">
        <f t="shared" si="37"/>
        <v>1231</v>
      </c>
      <c r="B1235" s="18"/>
      <c r="C1235" s="16" t="s">
        <v>1679</v>
      </c>
      <c r="D1235" s="19"/>
      <c r="E1235" s="19"/>
      <c r="F1235" s="203" t="str">
        <f t="shared" si="36"/>
        <v/>
      </c>
    </row>
    <row r="1236" spans="1:6" ht="14.1" customHeight="1">
      <c r="A1236" s="14">
        <f t="shared" si="37"/>
        <v>1232</v>
      </c>
      <c r="B1236" s="18"/>
      <c r="C1236" s="16" t="s">
        <v>1679</v>
      </c>
      <c r="D1236" s="19"/>
      <c r="E1236" s="19"/>
      <c r="F1236" s="203" t="str">
        <f t="shared" si="36"/>
        <v/>
      </c>
    </row>
    <row r="1237" spans="1:6" ht="14.1" customHeight="1">
      <c r="A1237" s="14">
        <f t="shared" si="37"/>
        <v>1233</v>
      </c>
      <c r="B1237" s="18"/>
      <c r="C1237" s="16" t="s">
        <v>1679</v>
      </c>
      <c r="D1237" s="19"/>
      <c r="E1237" s="19"/>
      <c r="F1237" s="203" t="str">
        <f t="shared" si="36"/>
        <v/>
      </c>
    </row>
    <row r="1238" spans="1:6" ht="14.1" customHeight="1">
      <c r="A1238" s="14">
        <f t="shared" si="37"/>
        <v>1234</v>
      </c>
      <c r="B1238" s="18"/>
      <c r="C1238" s="16" t="s">
        <v>1679</v>
      </c>
      <c r="D1238" s="19"/>
      <c r="E1238" s="19"/>
      <c r="F1238" s="203" t="str">
        <f t="shared" si="36"/>
        <v/>
      </c>
    </row>
    <row r="1239" spans="1:6" ht="14.1" customHeight="1">
      <c r="A1239" s="14">
        <f t="shared" si="37"/>
        <v>1235</v>
      </c>
      <c r="B1239" s="18"/>
      <c r="C1239" s="16" t="s">
        <v>1679</v>
      </c>
      <c r="D1239" s="19"/>
      <c r="E1239" s="19"/>
      <c r="F1239" s="203" t="str">
        <f t="shared" si="36"/>
        <v/>
      </c>
    </row>
    <row r="1240" spans="1:6" ht="14.1" customHeight="1">
      <c r="A1240" s="14">
        <f t="shared" si="37"/>
        <v>1236</v>
      </c>
      <c r="B1240" s="18"/>
      <c r="C1240" s="16" t="s">
        <v>1679</v>
      </c>
      <c r="D1240" s="19"/>
      <c r="E1240" s="19"/>
      <c r="F1240" s="203" t="str">
        <f t="shared" si="36"/>
        <v/>
      </c>
    </row>
    <row r="1241" spans="1:6" ht="14.1" customHeight="1">
      <c r="A1241" s="14">
        <f t="shared" si="37"/>
        <v>1237</v>
      </c>
      <c r="B1241" s="18"/>
      <c r="C1241" s="16" t="s">
        <v>1679</v>
      </c>
      <c r="D1241" s="19"/>
      <c r="E1241" s="19"/>
      <c r="F1241" s="203" t="str">
        <f t="shared" si="36"/>
        <v/>
      </c>
    </row>
    <row r="1242" spans="1:6" ht="14.1" customHeight="1">
      <c r="A1242" s="14">
        <f t="shared" si="37"/>
        <v>1238</v>
      </c>
      <c r="B1242" s="18"/>
      <c r="C1242" s="16" t="s">
        <v>1679</v>
      </c>
      <c r="D1242" s="19"/>
      <c r="E1242" s="19"/>
      <c r="F1242" s="203" t="str">
        <f t="shared" si="36"/>
        <v/>
      </c>
    </row>
    <row r="1243" spans="1:6" ht="14.1" customHeight="1">
      <c r="A1243" s="14">
        <f t="shared" si="37"/>
        <v>1239</v>
      </c>
      <c r="B1243" s="18"/>
      <c r="C1243" s="16" t="s">
        <v>1679</v>
      </c>
      <c r="D1243" s="19"/>
      <c r="E1243" s="19"/>
      <c r="F1243" s="203" t="str">
        <f t="shared" si="36"/>
        <v/>
      </c>
    </row>
    <row r="1244" spans="1:6" ht="14.1" customHeight="1">
      <c r="A1244" s="14">
        <f t="shared" si="37"/>
        <v>1240</v>
      </c>
      <c r="B1244" s="18"/>
      <c r="C1244" s="16" t="s">
        <v>1679</v>
      </c>
      <c r="D1244" s="19"/>
      <c r="E1244" s="19"/>
      <c r="F1244" s="203" t="str">
        <f t="shared" si="36"/>
        <v/>
      </c>
    </row>
    <row r="1245" spans="1:6" ht="14.1" customHeight="1">
      <c r="A1245" s="14">
        <f t="shared" si="37"/>
        <v>1241</v>
      </c>
      <c r="B1245" s="18"/>
      <c r="C1245" s="16" t="s">
        <v>1679</v>
      </c>
      <c r="D1245" s="19"/>
      <c r="E1245" s="19"/>
      <c r="F1245" s="203" t="str">
        <f t="shared" si="36"/>
        <v/>
      </c>
    </row>
    <row r="1246" spans="1:6" ht="14.1" customHeight="1">
      <c r="A1246" s="14">
        <f t="shared" si="37"/>
        <v>1242</v>
      </c>
      <c r="B1246" s="18"/>
      <c r="C1246" s="16" t="s">
        <v>1679</v>
      </c>
      <c r="D1246" s="19"/>
      <c r="E1246" s="19"/>
      <c r="F1246" s="203" t="str">
        <f t="shared" si="36"/>
        <v/>
      </c>
    </row>
    <row r="1247" spans="1:6" ht="14.1" customHeight="1">
      <c r="A1247" s="14">
        <f t="shared" si="37"/>
        <v>1243</v>
      </c>
      <c r="B1247" s="18"/>
      <c r="C1247" s="16" t="s">
        <v>1679</v>
      </c>
      <c r="D1247" s="19"/>
      <c r="E1247" s="19"/>
      <c r="F1247" s="203" t="str">
        <f t="shared" si="36"/>
        <v/>
      </c>
    </row>
    <row r="1248" spans="1:6" ht="14.1" customHeight="1">
      <c r="A1248" s="14">
        <f t="shared" si="37"/>
        <v>1244</v>
      </c>
      <c r="B1248" s="18"/>
      <c r="C1248" s="16" t="s">
        <v>1679</v>
      </c>
      <c r="D1248" s="19"/>
      <c r="E1248" s="19"/>
      <c r="F1248" s="203" t="str">
        <f t="shared" si="36"/>
        <v/>
      </c>
    </row>
    <row r="1249" spans="1:6" ht="14.1" customHeight="1">
      <c r="A1249" s="14">
        <f t="shared" si="37"/>
        <v>1245</v>
      </c>
      <c r="B1249" s="18"/>
      <c r="C1249" s="16" t="s">
        <v>1679</v>
      </c>
      <c r="D1249" s="19"/>
      <c r="E1249" s="19"/>
      <c r="F1249" s="203" t="str">
        <f t="shared" si="36"/>
        <v/>
      </c>
    </row>
    <row r="1250" spans="1:6" ht="14.1" customHeight="1">
      <c r="A1250" s="14">
        <f t="shared" si="37"/>
        <v>1246</v>
      </c>
      <c r="B1250" s="18"/>
      <c r="C1250" s="16" t="s">
        <v>1679</v>
      </c>
      <c r="D1250" s="19"/>
      <c r="E1250" s="19"/>
      <c r="F1250" s="203" t="str">
        <f t="shared" si="36"/>
        <v/>
      </c>
    </row>
    <row r="1251" spans="1:6" ht="14.1" customHeight="1">
      <c r="A1251" s="14">
        <f t="shared" si="37"/>
        <v>1247</v>
      </c>
      <c r="B1251" s="18"/>
      <c r="C1251" s="16" t="s">
        <v>1679</v>
      </c>
      <c r="D1251" s="19"/>
      <c r="E1251" s="19"/>
      <c r="F1251" s="203" t="str">
        <f t="shared" si="36"/>
        <v/>
      </c>
    </row>
    <row r="1252" spans="1:6" ht="14.1" customHeight="1">
      <c r="A1252" s="14">
        <f t="shared" si="37"/>
        <v>1248</v>
      </c>
      <c r="B1252" s="18"/>
      <c r="C1252" s="16" t="s">
        <v>1679</v>
      </c>
      <c r="D1252" s="19"/>
      <c r="E1252" s="19"/>
      <c r="F1252" s="203" t="str">
        <f t="shared" si="36"/>
        <v/>
      </c>
    </row>
    <row r="1253" spans="1:6" ht="14.1" customHeight="1">
      <c r="A1253" s="14">
        <f t="shared" si="37"/>
        <v>1249</v>
      </c>
      <c r="B1253" s="18"/>
      <c r="C1253" s="16" t="s">
        <v>1679</v>
      </c>
      <c r="D1253" s="19"/>
      <c r="E1253" s="19"/>
      <c r="F1253" s="203" t="str">
        <f t="shared" si="36"/>
        <v/>
      </c>
    </row>
    <row r="1254" spans="1:6" ht="14.1" customHeight="1">
      <c r="A1254" s="14">
        <f t="shared" si="37"/>
        <v>1250</v>
      </c>
      <c r="B1254" s="18"/>
      <c r="C1254" s="16" t="s">
        <v>1679</v>
      </c>
      <c r="D1254" s="19"/>
      <c r="E1254" s="19"/>
      <c r="F1254" s="203" t="str">
        <f t="shared" si="36"/>
        <v/>
      </c>
    </row>
    <row r="1255" spans="1:6" ht="14.1" customHeight="1">
      <c r="A1255" s="14">
        <f t="shared" si="37"/>
        <v>1251</v>
      </c>
      <c r="B1255" s="18"/>
      <c r="C1255" s="16" t="s">
        <v>1679</v>
      </c>
      <c r="D1255" s="19"/>
      <c r="E1255" s="19"/>
      <c r="F1255" s="203" t="str">
        <f t="shared" si="36"/>
        <v/>
      </c>
    </row>
    <row r="1256" spans="1:6" ht="14.1" customHeight="1">
      <c r="A1256" s="14">
        <f t="shared" si="37"/>
        <v>1252</v>
      </c>
      <c r="B1256" s="18"/>
      <c r="C1256" s="16" t="s">
        <v>1679</v>
      </c>
      <c r="D1256" s="19"/>
      <c r="E1256" s="19"/>
      <c r="F1256" s="203" t="str">
        <f t="shared" si="36"/>
        <v/>
      </c>
    </row>
    <row r="1257" spans="1:6" ht="14.1" customHeight="1">
      <c r="A1257" s="14">
        <f t="shared" si="37"/>
        <v>1253</v>
      </c>
      <c r="B1257" s="18"/>
      <c r="C1257" s="16" t="s">
        <v>1679</v>
      </c>
      <c r="D1257" s="19"/>
      <c r="E1257" s="19"/>
      <c r="F1257" s="203" t="str">
        <f t="shared" si="36"/>
        <v/>
      </c>
    </row>
    <row r="1258" spans="1:6" ht="14.1" customHeight="1">
      <c r="A1258" s="14">
        <f t="shared" si="37"/>
        <v>1254</v>
      </c>
      <c r="B1258" s="18"/>
      <c r="C1258" s="16" t="s">
        <v>1679</v>
      </c>
      <c r="D1258" s="19"/>
      <c r="E1258" s="19"/>
      <c r="F1258" s="203" t="str">
        <f t="shared" ref="F1258:F1321" si="38">IF(AND(B1259&lt;&gt;"",B1258=""),"Don't skip lines",IF(AND(D1258="",B1258&lt;&gt;""),"Enter U-value",IF(AND(D1258&lt;&gt;"",B1258=""),"Enter Description","")))</f>
        <v/>
      </c>
    </row>
    <row r="1259" spans="1:6" ht="14.1" customHeight="1">
      <c r="A1259" s="14">
        <f t="shared" si="37"/>
        <v>1255</v>
      </c>
      <c r="B1259" s="18"/>
      <c r="C1259" s="16" t="s">
        <v>1679</v>
      </c>
      <c r="D1259" s="19"/>
      <c r="E1259" s="19"/>
      <c r="F1259" s="203" t="str">
        <f t="shared" si="38"/>
        <v/>
      </c>
    </row>
    <row r="1260" spans="1:6" ht="14.1" customHeight="1">
      <c r="A1260" s="14">
        <f t="shared" si="37"/>
        <v>1256</v>
      </c>
      <c r="B1260" s="18"/>
      <c r="C1260" s="16" t="s">
        <v>1679</v>
      </c>
      <c r="D1260" s="19"/>
      <c r="E1260" s="19"/>
      <c r="F1260" s="203" t="str">
        <f t="shared" si="38"/>
        <v/>
      </c>
    </row>
    <row r="1261" spans="1:6" ht="14.1" customHeight="1">
      <c r="A1261" s="14">
        <f t="shared" si="37"/>
        <v>1257</v>
      </c>
      <c r="B1261" s="18"/>
      <c r="C1261" s="16" t="s">
        <v>1679</v>
      </c>
      <c r="D1261" s="19"/>
      <c r="E1261" s="19"/>
      <c r="F1261" s="203" t="str">
        <f t="shared" si="38"/>
        <v/>
      </c>
    </row>
    <row r="1262" spans="1:6" ht="14.1" customHeight="1">
      <c r="A1262" s="14">
        <f t="shared" si="37"/>
        <v>1258</v>
      </c>
      <c r="B1262" s="18"/>
      <c r="C1262" s="16" t="s">
        <v>1679</v>
      </c>
      <c r="D1262" s="19"/>
      <c r="E1262" s="19"/>
      <c r="F1262" s="203" t="str">
        <f t="shared" si="38"/>
        <v/>
      </c>
    </row>
    <row r="1263" spans="1:6" ht="14.1" customHeight="1">
      <c r="A1263" s="14">
        <f t="shared" si="37"/>
        <v>1259</v>
      </c>
      <c r="B1263" s="18"/>
      <c r="C1263" s="16" t="s">
        <v>1679</v>
      </c>
      <c r="D1263" s="19"/>
      <c r="E1263" s="19"/>
      <c r="F1263" s="203" t="str">
        <f t="shared" si="38"/>
        <v/>
      </c>
    </row>
    <row r="1264" spans="1:6" ht="14.1" customHeight="1">
      <c r="A1264" s="14">
        <f t="shared" si="37"/>
        <v>1260</v>
      </c>
      <c r="B1264" s="18"/>
      <c r="C1264" s="16" t="s">
        <v>1679</v>
      </c>
      <c r="D1264" s="19"/>
      <c r="E1264" s="19"/>
      <c r="F1264" s="203" t="str">
        <f t="shared" si="38"/>
        <v/>
      </c>
    </row>
    <row r="1265" spans="1:6" ht="14.1" customHeight="1">
      <c r="A1265" s="14">
        <f t="shared" si="37"/>
        <v>1261</v>
      </c>
      <c r="B1265" s="18"/>
      <c r="C1265" s="16" t="s">
        <v>1679</v>
      </c>
      <c r="D1265" s="19"/>
      <c r="E1265" s="19"/>
      <c r="F1265" s="203" t="str">
        <f t="shared" si="38"/>
        <v/>
      </c>
    </row>
    <row r="1266" spans="1:6" ht="14.1" customHeight="1">
      <c r="A1266" s="14">
        <f t="shared" si="37"/>
        <v>1262</v>
      </c>
      <c r="B1266" s="18"/>
      <c r="C1266" s="16" t="s">
        <v>1679</v>
      </c>
      <c r="D1266" s="19"/>
      <c r="E1266" s="19"/>
      <c r="F1266" s="203" t="str">
        <f t="shared" si="38"/>
        <v/>
      </c>
    </row>
    <row r="1267" spans="1:6" ht="14.1" customHeight="1">
      <c r="A1267" s="14">
        <f t="shared" si="37"/>
        <v>1263</v>
      </c>
      <c r="B1267" s="18"/>
      <c r="C1267" s="16" t="s">
        <v>1679</v>
      </c>
      <c r="D1267" s="19"/>
      <c r="E1267" s="19"/>
      <c r="F1267" s="203" t="str">
        <f t="shared" si="38"/>
        <v/>
      </c>
    </row>
    <row r="1268" spans="1:6" ht="14.1" customHeight="1">
      <c r="A1268" s="14">
        <f t="shared" si="37"/>
        <v>1264</v>
      </c>
      <c r="B1268" s="18"/>
      <c r="C1268" s="16" t="s">
        <v>1679</v>
      </c>
      <c r="D1268" s="19"/>
      <c r="E1268" s="19"/>
      <c r="F1268" s="203" t="str">
        <f t="shared" si="38"/>
        <v/>
      </c>
    </row>
    <row r="1269" spans="1:6" ht="14.1" customHeight="1">
      <c r="A1269" s="14">
        <f t="shared" si="37"/>
        <v>1265</v>
      </c>
      <c r="B1269" s="18"/>
      <c r="C1269" s="16" t="s">
        <v>1679</v>
      </c>
      <c r="D1269" s="19"/>
      <c r="E1269" s="19"/>
      <c r="F1269" s="203" t="str">
        <f t="shared" si="38"/>
        <v/>
      </c>
    </row>
    <row r="1270" spans="1:6" ht="14.1" customHeight="1">
      <c r="A1270" s="14">
        <f t="shared" si="37"/>
        <v>1266</v>
      </c>
      <c r="B1270" s="18"/>
      <c r="C1270" s="16" t="s">
        <v>1679</v>
      </c>
      <c r="D1270" s="19"/>
      <c r="E1270" s="19"/>
      <c r="F1270" s="203" t="str">
        <f t="shared" si="38"/>
        <v/>
      </c>
    </row>
    <row r="1271" spans="1:6" ht="14.1" customHeight="1">
      <c r="A1271" s="14">
        <f t="shared" si="37"/>
        <v>1267</v>
      </c>
      <c r="B1271" s="18"/>
      <c r="C1271" s="16" t="s">
        <v>1679</v>
      </c>
      <c r="D1271" s="19"/>
      <c r="E1271" s="19"/>
      <c r="F1271" s="203" t="str">
        <f t="shared" si="38"/>
        <v/>
      </c>
    </row>
    <row r="1272" spans="1:6" ht="14.1" customHeight="1">
      <c r="A1272" s="14">
        <f t="shared" si="37"/>
        <v>1268</v>
      </c>
      <c r="B1272" s="18"/>
      <c r="C1272" s="16" t="s">
        <v>1679</v>
      </c>
      <c r="D1272" s="19"/>
      <c r="E1272" s="19"/>
      <c r="F1272" s="203" t="str">
        <f t="shared" si="38"/>
        <v/>
      </c>
    </row>
    <row r="1273" spans="1:6" ht="14.1" customHeight="1">
      <c r="A1273" s="14">
        <f t="shared" si="37"/>
        <v>1269</v>
      </c>
      <c r="B1273" s="18"/>
      <c r="C1273" s="16" t="s">
        <v>1679</v>
      </c>
      <c r="D1273" s="19"/>
      <c r="E1273" s="19"/>
      <c r="F1273" s="203" t="str">
        <f t="shared" si="38"/>
        <v/>
      </c>
    </row>
    <row r="1274" spans="1:6" ht="14.1" customHeight="1">
      <c r="A1274" s="14">
        <f t="shared" si="37"/>
        <v>1270</v>
      </c>
      <c r="B1274" s="18"/>
      <c r="C1274" s="16" t="s">
        <v>1679</v>
      </c>
      <c r="D1274" s="19"/>
      <c r="E1274" s="19"/>
      <c r="F1274" s="203" t="str">
        <f t="shared" si="38"/>
        <v/>
      </c>
    </row>
    <row r="1275" spans="1:6" ht="14.1" customHeight="1">
      <c r="A1275" s="14">
        <f t="shared" si="37"/>
        <v>1271</v>
      </c>
      <c r="B1275" s="18"/>
      <c r="C1275" s="16" t="s">
        <v>1679</v>
      </c>
      <c r="D1275" s="19"/>
      <c r="E1275" s="19"/>
      <c r="F1275" s="203" t="str">
        <f t="shared" si="38"/>
        <v/>
      </c>
    </row>
    <row r="1276" spans="1:6" ht="14.1" customHeight="1">
      <c r="A1276" s="14">
        <f t="shared" si="37"/>
        <v>1272</v>
      </c>
      <c r="B1276" s="18"/>
      <c r="C1276" s="16" t="s">
        <v>1679</v>
      </c>
      <c r="D1276" s="19"/>
      <c r="E1276" s="19"/>
      <c r="F1276" s="203" t="str">
        <f t="shared" si="38"/>
        <v/>
      </c>
    </row>
    <row r="1277" spans="1:6" ht="14.1" customHeight="1">
      <c r="A1277" s="14">
        <f t="shared" si="37"/>
        <v>1273</v>
      </c>
      <c r="B1277" s="18"/>
      <c r="C1277" s="16" t="s">
        <v>1679</v>
      </c>
      <c r="D1277" s="19"/>
      <c r="E1277" s="19"/>
      <c r="F1277" s="203" t="str">
        <f t="shared" si="38"/>
        <v/>
      </c>
    </row>
    <row r="1278" spans="1:6" ht="14.1" customHeight="1">
      <c r="A1278" s="14">
        <f t="shared" si="37"/>
        <v>1274</v>
      </c>
      <c r="B1278" s="18"/>
      <c r="C1278" s="16" t="s">
        <v>1679</v>
      </c>
      <c r="D1278" s="19"/>
      <c r="E1278" s="19"/>
      <c r="F1278" s="203" t="str">
        <f t="shared" si="38"/>
        <v/>
      </c>
    </row>
    <row r="1279" spans="1:6" ht="14.1" customHeight="1">
      <c r="A1279" s="14">
        <f t="shared" si="37"/>
        <v>1275</v>
      </c>
      <c r="B1279" s="18"/>
      <c r="C1279" s="16" t="s">
        <v>1679</v>
      </c>
      <c r="D1279" s="19"/>
      <c r="E1279" s="19"/>
      <c r="F1279" s="203" t="str">
        <f t="shared" si="38"/>
        <v/>
      </c>
    </row>
    <row r="1280" spans="1:6" ht="14.1" customHeight="1">
      <c r="A1280" s="14">
        <f t="shared" si="37"/>
        <v>1276</v>
      </c>
      <c r="B1280" s="18"/>
      <c r="C1280" s="16" t="s">
        <v>1679</v>
      </c>
      <c r="D1280" s="19"/>
      <c r="E1280" s="19"/>
      <c r="F1280" s="203" t="str">
        <f t="shared" si="38"/>
        <v/>
      </c>
    </row>
    <row r="1281" spans="1:6" ht="14.1" customHeight="1">
      <c r="A1281" s="14">
        <f t="shared" si="37"/>
        <v>1277</v>
      </c>
      <c r="B1281" s="18"/>
      <c r="C1281" s="16" t="s">
        <v>1679</v>
      </c>
      <c r="D1281" s="19"/>
      <c r="E1281" s="19"/>
      <c r="F1281" s="203" t="str">
        <f t="shared" si="38"/>
        <v/>
      </c>
    </row>
    <row r="1282" spans="1:6" ht="14.1" customHeight="1">
      <c r="A1282" s="14">
        <f t="shared" si="37"/>
        <v>1278</v>
      </c>
      <c r="B1282" s="18"/>
      <c r="C1282" s="16" t="s">
        <v>1679</v>
      </c>
      <c r="D1282" s="19"/>
      <c r="E1282" s="19"/>
      <c r="F1282" s="203" t="str">
        <f t="shared" si="38"/>
        <v/>
      </c>
    </row>
    <row r="1283" spans="1:6" ht="14.1" customHeight="1">
      <c r="A1283" s="14">
        <f t="shared" ref="A1283:A1346" si="39">A1282+1</f>
        <v>1279</v>
      </c>
      <c r="B1283" s="18"/>
      <c r="C1283" s="16" t="s">
        <v>1679</v>
      </c>
      <c r="D1283" s="19"/>
      <c r="E1283" s="19"/>
      <c r="F1283" s="203" t="str">
        <f t="shared" si="38"/>
        <v/>
      </c>
    </row>
    <row r="1284" spans="1:6" ht="14.1" customHeight="1">
      <c r="A1284" s="14">
        <f t="shared" si="39"/>
        <v>1280</v>
      </c>
      <c r="B1284" s="18"/>
      <c r="C1284" s="16" t="s">
        <v>1679</v>
      </c>
      <c r="D1284" s="19"/>
      <c r="E1284" s="19"/>
      <c r="F1284" s="203" t="str">
        <f t="shared" si="38"/>
        <v/>
      </c>
    </row>
    <row r="1285" spans="1:6" ht="14.1" customHeight="1">
      <c r="A1285" s="14">
        <f t="shared" si="39"/>
        <v>1281</v>
      </c>
      <c r="B1285" s="18"/>
      <c r="C1285" s="16" t="s">
        <v>1679</v>
      </c>
      <c r="D1285" s="19"/>
      <c r="E1285" s="19"/>
      <c r="F1285" s="203" t="str">
        <f t="shared" si="38"/>
        <v/>
      </c>
    </row>
    <row r="1286" spans="1:6" ht="14.1" customHeight="1">
      <c r="A1286" s="14">
        <f t="shared" si="39"/>
        <v>1282</v>
      </c>
      <c r="B1286" s="18"/>
      <c r="C1286" s="16" t="s">
        <v>1679</v>
      </c>
      <c r="D1286" s="19"/>
      <c r="E1286" s="19"/>
      <c r="F1286" s="203" t="str">
        <f t="shared" si="38"/>
        <v/>
      </c>
    </row>
    <row r="1287" spans="1:6" ht="14.1" customHeight="1">
      <c r="A1287" s="14">
        <f t="shared" si="39"/>
        <v>1283</v>
      </c>
      <c r="B1287" s="18"/>
      <c r="C1287" s="16" t="s">
        <v>1679</v>
      </c>
      <c r="D1287" s="19"/>
      <c r="E1287" s="19"/>
      <c r="F1287" s="203" t="str">
        <f t="shared" si="38"/>
        <v/>
      </c>
    </row>
    <row r="1288" spans="1:6" ht="14.1" customHeight="1">
      <c r="A1288" s="14">
        <f t="shared" si="39"/>
        <v>1284</v>
      </c>
      <c r="B1288" s="18"/>
      <c r="C1288" s="16" t="s">
        <v>1679</v>
      </c>
      <c r="D1288" s="19"/>
      <c r="E1288" s="19"/>
      <c r="F1288" s="203" t="str">
        <f t="shared" si="38"/>
        <v/>
      </c>
    </row>
    <row r="1289" spans="1:6" ht="14.1" customHeight="1">
      <c r="A1289" s="14">
        <f t="shared" si="39"/>
        <v>1285</v>
      </c>
      <c r="B1289" s="18"/>
      <c r="C1289" s="16" t="s">
        <v>1679</v>
      </c>
      <c r="D1289" s="19"/>
      <c r="E1289" s="19"/>
      <c r="F1289" s="203" t="str">
        <f t="shared" si="38"/>
        <v/>
      </c>
    </row>
    <row r="1290" spans="1:6" ht="14.1" customHeight="1">
      <c r="A1290" s="14">
        <f t="shared" si="39"/>
        <v>1286</v>
      </c>
      <c r="B1290" s="18"/>
      <c r="C1290" s="16" t="s">
        <v>1679</v>
      </c>
      <c r="D1290" s="19"/>
      <c r="E1290" s="19"/>
      <c r="F1290" s="203" t="str">
        <f t="shared" si="38"/>
        <v/>
      </c>
    </row>
    <row r="1291" spans="1:6" ht="14.1" customHeight="1">
      <c r="A1291" s="14">
        <f t="shared" si="39"/>
        <v>1287</v>
      </c>
      <c r="B1291" s="18"/>
      <c r="C1291" s="16" t="s">
        <v>1679</v>
      </c>
      <c r="D1291" s="19"/>
      <c r="E1291" s="19"/>
      <c r="F1291" s="203" t="str">
        <f t="shared" si="38"/>
        <v/>
      </c>
    </row>
    <row r="1292" spans="1:6" ht="14.1" customHeight="1">
      <c r="A1292" s="14">
        <f t="shared" si="39"/>
        <v>1288</v>
      </c>
      <c r="B1292" s="18"/>
      <c r="C1292" s="16" t="s">
        <v>1679</v>
      </c>
      <c r="D1292" s="19"/>
      <c r="E1292" s="19"/>
      <c r="F1292" s="203" t="str">
        <f t="shared" si="38"/>
        <v/>
      </c>
    </row>
    <row r="1293" spans="1:6" ht="14.1" customHeight="1">
      <c r="A1293" s="14">
        <f t="shared" si="39"/>
        <v>1289</v>
      </c>
      <c r="B1293" s="18"/>
      <c r="C1293" s="16" t="s">
        <v>1679</v>
      </c>
      <c r="D1293" s="19"/>
      <c r="E1293" s="19"/>
      <c r="F1293" s="203" t="str">
        <f t="shared" si="38"/>
        <v/>
      </c>
    </row>
    <row r="1294" spans="1:6" ht="14.1" customHeight="1">
      <c r="A1294" s="14">
        <f t="shared" si="39"/>
        <v>1290</v>
      </c>
      <c r="B1294" s="18"/>
      <c r="C1294" s="16" t="s">
        <v>1679</v>
      </c>
      <c r="D1294" s="19"/>
      <c r="E1294" s="19"/>
      <c r="F1294" s="203" t="str">
        <f t="shared" si="38"/>
        <v/>
      </c>
    </row>
    <row r="1295" spans="1:6" ht="14.1" customHeight="1">
      <c r="A1295" s="14">
        <f t="shared" si="39"/>
        <v>1291</v>
      </c>
      <c r="B1295" s="18"/>
      <c r="C1295" s="16" t="s">
        <v>1679</v>
      </c>
      <c r="D1295" s="19"/>
      <c r="E1295" s="19"/>
      <c r="F1295" s="203" t="str">
        <f t="shared" si="38"/>
        <v/>
      </c>
    </row>
    <row r="1296" spans="1:6" ht="14.1" customHeight="1">
      <c r="A1296" s="14">
        <f t="shared" si="39"/>
        <v>1292</v>
      </c>
      <c r="B1296" s="18"/>
      <c r="C1296" s="16" t="s">
        <v>1679</v>
      </c>
      <c r="D1296" s="19"/>
      <c r="E1296" s="19"/>
      <c r="F1296" s="203" t="str">
        <f t="shared" si="38"/>
        <v/>
      </c>
    </row>
    <row r="1297" spans="1:6" ht="14.1" customHeight="1">
      <c r="A1297" s="14">
        <f t="shared" si="39"/>
        <v>1293</v>
      </c>
      <c r="B1297" s="18"/>
      <c r="C1297" s="16" t="s">
        <v>1679</v>
      </c>
      <c r="D1297" s="19"/>
      <c r="E1297" s="19"/>
      <c r="F1297" s="203" t="str">
        <f t="shared" si="38"/>
        <v/>
      </c>
    </row>
    <row r="1298" spans="1:6" ht="14.1" customHeight="1">
      <c r="A1298" s="14">
        <f t="shared" si="39"/>
        <v>1294</v>
      </c>
      <c r="B1298" s="18"/>
      <c r="C1298" s="16" t="s">
        <v>1679</v>
      </c>
      <c r="D1298" s="19"/>
      <c r="E1298" s="19"/>
      <c r="F1298" s="203" t="str">
        <f t="shared" si="38"/>
        <v/>
      </c>
    </row>
    <row r="1299" spans="1:6" ht="14.1" customHeight="1">
      <c r="A1299" s="14">
        <f t="shared" si="39"/>
        <v>1295</v>
      </c>
      <c r="B1299" s="18"/>
      <c r="C1299" s="16" t="s">
        <v>1679</v>
      </c>
      <c r="D1299" s="19"/>
      <c r="E1299" s="19"/>
      <c r="F1299" s="203" t="str">
        <f t="shared" si="38"/>
        <v/>
      </c>
    </row>
    <row r="1300" spans="1:6" ht="14.1" customHeight="1">
      <c r="A1300" s="14">
        <f t="shared" si="39"/>
        <v>1296</v>
      </c>
      <c r="B1300" s="18"/>
      <c r="C1300" s="16" t="s">
        <v>1679</v>
      </c>
      <c r="D1300" s="19"/>
      <c r="E1300" s="19"/>
      <c r="F1300" s="203" t="str">
        <f t="shared" si="38"/>
        <v/>
      </c>
    </row>
    <row r="1301" spans="1:6" ht="14.1" customHeight="1">
      <c r="A1301" s="14">
        <f t="shared" si="39"/>
        <v>1297</v>
      </c>
      <c r="B1301" s="18"/>
      <c r="C1301" s="16" t="s">
        <v>1679</v>
      </c>
      <c r="D1301" s="19"/>
      <c r="E1301" s="19"/>
      <c r="F1301" s="203" t="str">
        <f t="shared" si="38"/>
        <v/>
      </c>
    </row>
    <row r="1302" spans="1:6" ht="14.1" customHeight="1">
      <c r="A1302" s="14">
        <f t="shared" si="39"/>
        <v>1298</v>
      </c>
      <c r="B1302" s="18"/>
      <c r="C1302" s="16" t="s">
        <v>1679</v>
      </c>
      <c r="D1302" s="19"/>
      <c r="E1302" s="19"/>
      <c r="F1302" s="203" t="str">
        <f t="shared" si="38"/>
        <v/>
      </c>
    </row>
    <row r="1303" spans="1:6" ht="14.1" customHeight="1">
      <c r="A1303" s="14">
        <f t="shared" si="39"/>
        <v>1299</v>
      </c>
      <c r="B1303" s="18"/>
      <c r="C1303" s="16" t="s">
        <v>1679</v>
      </c>
      <c r="D1303" s="19"/>
      <c r="E1303" s="19"/>
      <c r="F1303" s="203" t="str">
        <f t="shared" si="38"/>
        <v/>
      </c>
    </row>
    <row r="1304" spans="1:6" ht="14.1" customHeight="1">
      <c r="A1304" s="14">
        <f t="shared" si="39"/>
        <v>1300</v>
      </c>
      <c r="B1304" s="18"/>
      <c r="C1304" s="16" t="s">
        <v>1679</v>
      </c>
      <c r="D1304" s="19"/>
      <c r="E1304" s="19"/>
      <c r="F1304" s="203" t="str">
        <f t="shared" si="38"/>
        <v/>
      </c>
    </row>
    <row r="1305" spans="1:6" ht="14.1" customHeight="1">
      <c r="A1305" s="14">
        <f t="shared" si="39"/>
        <v>1301</v>
      </c>
      <c r="B1305" s="18"/>
      <c r="C1305" s="16" t="s">
        <v>1679</v>
      </c>
      <c r="D1305" s="19"/>
      <c r="E1305" s="19"/>
      <c r="F1305" s="203" t="str">
        <f t="shared" si="38"/>
        <v/>
      </c>
    </row>
    <row r="1306" spans="1:6" ht="14.1" customHeight="1">
      <c r="A1306" s="14">
        <f t="shared" si="39"/>
        <v>1302</v>
      </c>
      <c r="B1306" s="18"/>
      <c r="C1306" s="16" t="s">
        <v>1679</v>
      </c>
      <c r="D1306" s="19"/>
      <c r="E1306" s="19"/>
      <c r="F1306" s="203" t="str">
        <f t="shared" si="38"/>
        <v/>
      </c>
    </row>
    <row r="1307" spans="1:6" ht="14.1" customHeight="1">
      <c r="A1307" s="14">
        <f t="shared" si="39"/>
        <v>1303</v>
      </c>
      <c r="B1307" s="18"/>
      <c r="C1307" s="16" t="s">
        <v>1679</v>
      </c>
      <c r="D1307" s="19"/>
      <c r="E1307" s="19"/>
      <c r="F1307" s="203" t="str">
        <f t="shared" si="38"/>
        <v/>
      </c>
    </row>
    <row r="1308" spans="1:6" ht="14.1" customHeight="1">
      <c r="A1308" s="14">
        <f t="shared" si="39"/>
        <v>1304</v>
      </c>
      <c r="B1308" s="18"/>
      <c r="C1308" s="16" t="s">
        <v>1679</v>
      </c>
      <c r="D1308" s="19"/>
      <c r="E1308" s="19"/>
      <c r="F1308" s="203" t="str">
        <f t="shared" si="38"/>
        <v/>
      </c>
    </row>
    <row r="1309" spans="1:6" ht="14.1" customHeight="1">
      <c r="A1309" s="14">
        <f t="shared" si="39"/>
        <v>1305</v>
      </c>
      <c r="B1309" s="18"/>
      <c r="C1309" s="16" t="s">
        <v>1679</v>
      </c>
      <c r="D1309" s="19"/>
      <c r="E1309" s="19"/>
      <c r="F1309" s="203" t="str">
        <f t="shared" si="38"/>
        <v/>
      </c>
    </row>
    <row r="1310" spans="1:6" ht="14.1" customHeight="1">
      <c r="A1310" s="14">
        <f t="shared" si="39"/>
        <v>1306</v>
      </c>
      <c r="B1310" s="18"/>
      <c r="C1310" s="16" t="s">
        <v>1679</v>
      </c>
      <c r="D1310" s="19"/>
      <c r="E1310" s="19"/>
      <c r="F1310" s="203" t="str">
        <f t="shared" si="38"/>
        <v/>
      </c>
    </row>
    <row r="1311" spans="1:6" ht="14.1" customHeight="1">
      <c r="A1311" s="14">
        <f t="shared" si="39"/>
        <v>1307</v>
      </c>
      <c r="B1311" s="18"/>
      <c r="C1311" s="16" t="s">
        <v>1679</v>
      </c>
      <c r="D1311" s="19"/>
      <c r="E1311" s="19"/>
      <c r="F1311" s="203" t="str">
        <f t="shared" si="38"/>
        <v/>
      </c>
    </row>
    <row r="1312" spans="1:6" ht="14.1" customHeight="1">
      <c r="A1312" s="14">
        <f t="shared" si="39"/>
        <v>1308</v>
      </c>
      <c r="B1312" s="18"/>
      <c r="C1312" s="16" t="s">
        <v>1679</v>
      </c>
      <c r="D1312" s="19"/>
      <c r="E1312" s="19"/>
      <c r="F1312" s="203" t="str">
        <f t="shared" si="38"/>
        <v/>
      </c>
    </row>
    <row r="1313" spans="1:6" ht="14.1" customHeight="1">
      <c r="A1313" s="14">
        <f t="shared" si="39"/>
        <v>1309</v>
      </c>
      <c r="B1313" s="18"/>
      <c r="C1313" s="16" t="s">
        <v>1679</v>
      </c>
      <c r="D1313" s="19"/>
      <c r="E1313" s="19"/>
      <c r="F1313" s="203" t="str">
        <f t="shared" si="38"/>
        <v/>
      </c>
    </row>
    <row r="1314" spans="1:6" ht="14.1" customHeight="1">
      <c r="A1314" s="14">
        <f t="shared" si="39"/>
        <v>1310</v>
      </c>
      <c r="B1314" s="18"/>
      <c r="C1314" s="16" t="s">
        <v>1679</v>
      </c>
      <c r="D1314" s="19"/>
      <c r="E1314" s="19"/>
      <c r="F1314" s="203" t="str">
        <f t="shared" si="38"/>
        <v/>
      </c>
    </row>
    <row r="1315" spans="1:6" ht="14.1" customHeight="1">
      <c r="A1315" s="14">
        <f t="shared" si="39"/>
        <v>1311</v>
      </c>
      <c r="B1315" s="18"/>
      <c r="C1315" s="16" t="s">
        <v>1679</v>
      </c>
      <c r="D1315" s="19"/>
      <c r="E1315" s="19"/>
      <c r="F1315" s="203" t="str">
        <f t="shared" si="38"/>
        <v/>
      </c>
    </row>
    <row r="1316" spans="1:6" ht="14.1" customHeight="1">
      <c r="A1316" s="14">
        <f t="shared" si="39"/>
        <v>1312</v>
      </c>
      <c r="B1316" s="18"/>
      <c r="C1316" s="16" t="s">
        <v>1679</v>
      </c>
      <c r="D1316" s="19"/>
      <c r="E1316" s="19"/>
      <c r="F1316" s="203" t="str">
        <f t="shared" si="38"/>
        <v/>
      </c>
    </row>
    <row r="1317" spans="1:6" ht="14.1" customHeight="1">
      <c r="A1317" s="14">
        <f t="shared" si="39"/>
        <v>1313</v>
      </c>
      <c r="B1317" s="18"/>
      <c r="C1317" s="16" t="s">
        <v>1679</v>
      </c>
      <c r="D1317" s="19"/>
      <c r="E1317" s="19"/>
      <c r="F1317" s="203" t="str">
        <f t="shared" si="38"/>
        <v/>
      </c>
    </row>
    <row r="1318" spans="1:6" ht="14.1" customHeight="1">
      <c r="A1318" s="14">
        <f t="shared" si="39"/>
        <v>1314</v>
      </c>
      <c r="B1318" s="18"/>
      <c r="C1318" s="16" t="s">
        <v>1679</v>
      </c>
      <c r="D1318" s="19"/>
      <c r="E1318" s="19"/>
      <c r="F1318" s="203" t="str">
        <f t="shared" si="38"/>
        <v/>
      </c>
    </row>
    <row r="1319" spans="1:6" ht="14.1" customHeight="1">
      <c r="A1319" s="14">
        <f t="shared" si="39"/>
        <v>1315</v>
      </c>
      <c r="B1319" s="18"/>
      <c r="C1319" s="16" t="s">
        <v>1679</v>
      </c>
      <c r="D1319" s="19"/>
      <c r="E1319" s="19"/>
      <c r="F1319" s="203" t="str">
        <f t="shared" si="38"/>
        <v/>
      </c>
    </row>
    <row r="1320" spans="1:6" ht="14.1" customHeight="1">
      <c r="A1320" s="14">
        <f t="shared" si="39"/>
        <v>1316</v>
      </c>
      <c r="B1320" s="18"/>
      <c r="C1320" s="16" t="s">
        <v>1679</v>
      </c>
      <c r="D1320" s="19"/>
      <c r="E1320" s="19"/>
      <c r="F1320" s="203" t="str">
        <f t="shared" si="38"/>
        <v/>
      </c>
    </row>
    <row r="1321" spans="1:6" ht="14.1" customHeight="1">
      <c r="A1321" s="14">
        <f t="shared" si="39"/>
        <v>1317</v>
      </c>
      <c r="B1321" s="18"/>
      <c r="C1321" s="16" t="s">
        <v>1679</v>
      </c>
      <c r="D1321" s="19"/>
      <c r="E1321" s="19"/>
      <c r="F1321" s="203" t="str">
        <f t="shared" si="38"/>
        <v/>
      </c>
    </row>
    <row r="1322" spans="1:6" ht="14.1" customHeight="1">
      <c r="A1322" s="14">
        <f t="shared" si="39"/>
        <v>1318</v>
      </c>
      <c r="B1322" s="18"/>
      <c r="C1322" s="16" t="s">
        <v>1679</v>
      </c>
      <c r="D1322" s="19"/>
      <c r="E1322" s="19"/>
      <c r="F1322" s="203" t="str">
        <f t="shared" ref="F1322:F1385" si="40">IF(AND(B1323&lt;&gt;"",B1322=""),"Don't skip lines",IF(AND(D1322="",B1322&lt;&gt;""),"Enter U-value",IF(AND(D1322&lt;&gt;"",B1322=""),"Enter Description","")))</f>
        <v/>
      </c>
    </row>
    <row r="1323" spans="1:6" ht="14.1" customHeight="1">
      <c r="A1323" s="14">
        <f t="shared" si="39"/>
        <v>1319</v>
      </c>
      <c r="B1323" s="18"/>
      <c r="C1323" s="16" t="s">
        <v>1679</v>
      </c>
      <c r="D1323" s="19"/>
      <c r="E1323" s="19"/>
      <c r="F1323" s="203" t="str">
        <f t="shared" si="40"/>
        <v/>
      </c>
    </row>
    <row r="1324" spans="1:6" ht="14.1" customHeight="1">
      <c r="A1324" s="14">
        <f t="shared" si="39"/>
        <v>1320</v>
      </c>
      <c r="B1324" s="18"/>
      <c r="C1324" s="16" t="s">
        <v>1679</v>
      </c>
      <c r="D1324" s="19"/>
      <c r="E1324" s="19"/>
      <c r="F1324" s="203" t="str">
        <f t="shared" si="40"/>
        <v/>
      </c>
    </row>
    <row r="1325" spans="1:6" ht="14.1" customHeight="1">
      <c r="A1325" s="14">
        <f t="shared" si="39"/>
        <v>1321</v>
      </c>
      <c r="B1325" s="18"/>
      <c r="C1325" s="16" t="s">
        <v>1679</v>
      </c>
      <c r="D1325" s="19"/>
      <c r="E1325" s="19"/>
      <c r="F1325" s="203" t="str">
        <f t="shared" si="40"/>
        <v/>
      </c>
    </row>
    <row r="1326" spans="1:6" ht="14.1" customHeight="1">
      <c r="A1326" s="14">
        <f t="shared" si="39"/>
        <v>1322</v>
      </c>
      <c r="B1326" s="18"/>
      <c r="C1326" s="16" t="s">
        <v>1679</v>
      </c>
      <c r="D1326" s="19"/>
      <c r="E1326" s="19"/>
      <c r="F1326" s="203" t="str">
        <f t="shared" si="40"/>
        <v/>
      </c>
    </row>
    <row r="1327" spans="1:6" ht="14.1" customHeight="1">
      <c r="A1327" s="14">
        <f t="shared" si="39"/>
        <v>1323</v>
      </c>
      <c r="B1327" s="18"/>
      <c r="C1327" s="16" t="s">
        <v>1679</v>
      </c>
      <c r="D1327" s="19"/>
      <c r="E1327" s="19"/>
      <c r="F1327" s="203" t="str">
        <f t="shared" si="40"/>
        <v/>
      </c>
    </row>
    <row r="1328" spans="1:6" ht="14.1" customHeight="1">
      <c r="A1328" s="14">
        <f t="shared" si="39"/>
        <v>1324</v>
      </c>
      <c r="B1328" s="18"/>
      <c r="C1328" s="16" t="s">
        <v>1679</v>
      </c>
      <c r="D1328" s="19"/>
      <c r="E1328" s="19"/>
      <c r="F1328" s="203" t="str">
        <f t="shared" si="40"/>
        <v/>
      </c>
    </row>
    <row r="1329" spans="1:6" ht="14.1" customHeight="1">
      <c r="A1329" s="14">
        <f t="shared" si="39"/>
        <v>1325</v>
      </c>
      <c r="B1329" s="18"/>
      <c r="C1329" s="16" t="s">
        <v>1679</v>
      </c>
      <c r="D1329" s="19"/>
      <c r="E1329" s="19"/>
      <c r="F1329" s="203" t="str">
        <f t="shared" si="40"/>
        <v/>
      </c>
    </row>
    <row r="1330" spans="1:6" ht="14.1" customHeight="1">
      <c r="A1330" s="14">
        <f t="shared" si="39"/>
        <v>1326</v>
      </c>
      <c r="B1330" s="18"/>
      <c r="C1330" s="16" t="s">
        <v>1679</v>
      </c>
      <c r="D1330" s="19"/>
      <c r="E1330" s="19"/>
      <c r="F1330" s="203" t="str">
        <f t="shared" si="40"/>
        <v/>
      </c>
    </row>
    <row r="1331" spans="1:6" ht="14.1" customHeight="1">
      <c r="A1331" s="14">
        <f t="shared" si="39"/>
        <v>1327</v>
      </c>
      <c r="B1331" s="18"/>
      <c r="C1331" s="16" t="s">
        <v>1679</v>
      </c>
      <c r="D1331" s="19"/>
      <c r="E1331" s="19"/>
      <c r="F1331" s="203" t="str">
        <f t="shared" si="40"/>
        <v/>
      </c>
    </row>
    <row r="1332" spans="1:6" ht="14.1" customHeight="1">
      <c r="A1332" s="14">
        <f t="shared" si="39"/>
        <v>1328</v>
      </c>
      <c r="B1332" s="18"/>
      <c r="C1332" s="16" t="s">
        <v>1679</v>
      </c>
      <c r="D1332" s="19"/>
      <c r="E1332" s="19"/>
      <c r="F1332" s="203" t="str">
        <f t="shared" si="40"/>
        <v/>
      </c>
    </row>
    <row r="1333" spans="1:6" ht="14.1" customHeight="1">
      <c r="A1333" s="14">
        <f t="shared" si="39"/>
        <v>1329</v>
      </c>
      <c r="B1333" s="18"/>
      <c r="C1333" s="16" t="s">
        <v>1679</v>
      </c>
      <c r="D1333" s="19"/>
      <c r="E1333" s="19"/>
      <c r="F1333" s="203" t="str">
        <f t="shared" si="40"/>
        <v/>
      </c>
    </row>
    <row r="1334" spans="1:6" ht="14.1" customHeight="1">
      <c r="A1334" s="14">
        <f t="shared" si="39"/>
        <v>1330</v>
      </c>
      <c r="B1334" s="18"/>
      <c r="C1334" s="16" t="s">
        <v>1679</v>
      </c>
      <c r="D1334" s="19"/>
      <c r="E1334" s="19"/>
      <c r="F1334" s="203" t="str">
        <f t="shared" si="40"/>
        <v/>
      </c>
    </row>
    <row r="1335" spans="1:6" ht="14.1" customHeight="1">
      <c r="A1335" s="14">
        <f t="shared" si="39"/>
        <v>1331</v>
      </c>
      <c r="B1335" s="18"/>
      <c r="C1335" s="16" t="s">
        <v>1679</v>
      </c>
      <c r="D1335" s="19"/>
      <c r="E1335" s="19"/>
      <c r="F1335" s="203" t="str">
        <f t="shared" si="40"/>
        <v/>
      </c>
    </row>
    <row r="1336" spans="1:6" ht="14.1" customHeight="1">
      <c r="A1336" s="14">
        <f t="shared" si="39"/>
        <v>1332</v>
      </c>
      <c r="B1336" s="18"/>
      <c r="C1336" s="16" t="s">
        <v>1679</v>
      </c>
      <c r="D1336" s="19"/>
      <c r="E1336" s="19"/>
      <c r="F1336" s="203" t="str">
        <f t="shared" si="40"/>
        <v/>
      </c>
    </row>
    <row r="1337" spans="1:6" ht="14.1" customHeight="1">
      <c r="A1337" s="14">
        <f t="shared" si="39"/>
        <v>1333</v>
      </c>
      <c r="B1337" s="18"/>
      <c r="C1337" s="16" t="s">
        <v>1679</v>
      </c>
      <c r="D1337" s="19"/>
      <c r="E1337" s="19"/>
      <c r="F1337" s="203" t="str">
        <f t="shared" si="40"/>
        <v/>
      </c>
    </row>
    <row r="1338" spans="1:6" ht="14.1" customHeight="1">
      <c r="A1338" s="14">
        <f t="shared" si="39"/>
        <v>1334</v>
      </c>
      <c r="B1338" s="18"/>
      <c r="C1338" s="16" t="s">
        <v>1679</v>
      </c>
      <c r="D1338" s="19"/>
      <c r="E1338" s="19"/>
      <c r="F1338" s="203" t="str">
        <f t="shared" si="40"/>
        <v/>
      </c>
    </row>
    <row r="1339" spans="1:6" ht="14.1" customHeight="1">
      <c r="A1339" s="14">
        <f t="shared" si="39"/>
        <v>1335</v>
      </c>
      <c r="B1339" s="18"/>
      <c r="C1339" s="16" t="s">
        <v>1679</v>
      </c>
      <c r="D1339" s="19"/>
      <c r="E1339" s="19"/>
      <c r="F1339" s="203" t="str">
        <f t="shared" si="40"/>
        <v/>
      </c>
    </row>
    <row r="1340" spans="1:6" ht="14.1" customHeight="1">
      <c r="A1340" s="14">
        <f t="shared" si="39"/>
        <v>1336</v>
      </c>
      <c r="B1340" s="18"/>
      <c r="C1340" s="16" t="s">
        <v>1679</v>
      </c>
      <c r="D1340" s="19"/>
      <c r="E1340" s="19"/>
      <c r="F1340" s="203" t="str">
        <f t="shared" si="40"/>
        <v/>
      </c>
    </row>
    <row r="1341" spans="1:6" ht="14.1" customHeight="1">
      <c r="A1341" s="14">
        <f t="shared" si="39"/>
        <v>1337</v>
      </c>
      <c r="B1341" s="18"/>
      <c r="C1341" s="16" t="s">
        <v>1679</v>
      </c>
      <c r="D1341" s="19"/>
      <c r="E1341" s="19"/>
      <c r="F1341" s="203" t="str">
        <f t="shared" si="40"/>
        <v/>
      </c>
    </row>
    <row r="1342" spans="1:6" ht="14.1" customHeight="1">
      <c r="A1342" s="14">
        <f t="shared" si="39"/>
        <v>1338</v>
      </c>
      <c r="B1342" s="18"/>
      <c r="C1342" s="16" t="s">
        <v>1679</v>
      </c>
      <c r="D1342" s="19"/>
      <c r="E1342" s="19"/>
      <c r="F1342" s="203" t="str">
        <f t="shared" si="40"/>
        <v/>
      </c>
    </row>
    <row r="1343" spans="1:6" ht="14.1" customHeight="1">
      <c r="A1343" s="14">
        <f t="shared" si="39"/>
        <v>1339</v>
      </c>
      <c r="B1343" s="18"/>
      <c r="C1343" s="16" t="s">
        <v>1679</v>
      </c>
      <c r="D1343" s="19"/>
      <c r="E1343" s="19"/>
      <c r="F1343" s="203" t="str">
        <f t="shared" si="40"/>
        <v/>
      </c>
    </row>
    <row r="1344" spans="1:6" ht="14.1" customHeight="1">
      <c r="A1344" s="14">
        <f t="shared" si="39"/>
        <v>1340</v>
      </c>
      <c r="B1344" s="18"/>
      <c r="C1344" s="16" t="s">
        <v>1679</v>
      </c>
      <c r="D1344" s="19"/>
      <c r="E1344" s="19"/>
      <c r="F1344" s="203" t="str">
        <f t="shared" si="40"/>
        <v/>
      </c>
    </row>
    <row r="1345" spans="1:6" ht="14.1" customHeight="1">
      <c r="A1345" s="14">
        <f t="shared" si="39"/>
        <v>1341</v>
      </c>
      <c r="B1345" s="18"/>
      <c r="C1345" s="16" t="s">
        <v>1679</v>
      </c>
      <c r="D1345" s="19"/>
      <c r="E1345" s="19"/>
      <c r="F1345" s="203" t="str">
        <f t="shared" si="40"/>
        <v/>
      </c>
    </row>
    <row r="1346" spans="1:6" ht="14.1" customHeight="1">
      <c r="A1346" s="14">
        <f t="shared" si="39"/>
        <v>1342</v>
      </c>
      <c r="B1346" s="18"/>
      <c r="C1346" s="16" t="s">
        <v>1679</v>
      </c>
      <c r="D1346" s="19"/>
      <c r="E1346" s="19"/>
      <c r="F1346" s="203" t="str">
        <f t="shared" si="40"/>
        <v/>
      </c>
    </row>
    <row r="1347" spans="1:6" ht="14.1" customHeight="1">
      <c r="A1347" s="14">
        <f t="shared" ref="A1347:A1410" si="41">A1346+1</f>
        <v>1343</v>
      </c>
      <c r="B1347" s="18"/>
      <c r="C1347" s="16" t="s">
        <v>1679</v>
      </c>
      <c r="D1347" s="19"/>
      <c r="E1347" s="19"/>
      <c r="F1347" s="203" t="str">
        <f t="shared" si="40"/>
        <v/>
      </c>
    </row>
    <row r="1348" spans="1:6" ht="14.1" customHeight="1">
      <c r="A1348" s="14">
        <f t="shared" si="41"/>
        <v>1344</v>
      </c>
      <c r="B1348" s="18"/>
      <c r="C1348" s="16" t="s">
        <v>1679</v>
      </c>
      <c r="D1348" s="19"/>
      <c r="E1348" s="19"/>
      <c r="F1348" s="203" t="str">
        <f t="shared" si="40"/>
        <v/>
      </c>
    </row>
    <row r="1349" spans="1:6" ht="14.1" customHeight="1">
      <c r="A1349" s="14">
        <f t="shared" si="41"/>
        <v>1345</v>
      </c>
      <c r="B1349" s="18"/>
      <c r="C1349" s="16" t="s">
        <v>1679</v>
      </c>
      <c r="D1349" s="19"/>
      <c r="E1349" s="19"/>
      <c r="F1349" s="203" t="str">
        <f t="shared" si="40"/>
        <v/>
      </c>
    </row>
    <row r="1350" spans="1:6" ht="14.1" customHeight="1">
      <c r="A1350" s="14">
        <f t="shared" si="41"/>
        <v>1346</v>
      </c>
      <c r="B1350" s="18"/>
      <c r="C1350" s="16" t="s">
        <v>1679</v>
      </c>
      <c r="D1350" s="19"/>
      <c r="E1350" s="19"/>
      <c r="F1350" s="203" t="str">
        <f t="shared" si="40"/>
        <v/>
      </c>
    </row>
    <row r="1351" spans="1:6" ht="14.1" customHeight="1">
      <c r="A1351" s="14">
        <f t="shared" si="41"/>
        <v>1347</v>
      </c>
      <c r="B1351" s="18"/>
      <c r="C1351" s="16" t="s">
        <v>1679</v>
      </c>
      <c r="D1351" s="19"/>
      <c r="E1351" s="19"/>
      <c r="F1351" s="203" t="str">
        <f t="shared" si="40"/>
        <v/>
      </c>
    </row>
    <row r="1352" spans="1:6" ht="14.1" customHeight="1">
      <c r="A1352" s="14">
        <f t="shared" si="41"/>
        <v>1348</v>
      </c>
      <c r="B1352" s="18"/>
      <c r="C1352" s="16" t="s">
        <v>1679</v>
      </c>
      <c r="D1352" s="19"/>
      <c r="E1352" s="19"/>
      <c r="F1352" s="203" t="str">
        <f t="shared" si="40"/>
        <v/>
      </c>
    </row>
    <row r="1353" spans="1:6" ht="14.1" customHeight="1">
      <c r="A1353" s="14">
        <f t="shared" si="41"/>
        <v>1349</v>
      </c>
      <c r="B1353" s="18"/>
      <c r="C1353" s="16" t="s">
        <v>1679</v>
      </c>
      <c r="D1353" s="19"/>
      <c r="E1353" s="19"/>
      <c r="F1353" s="203" t="str">
        <f t="shared" si="40"/>
        <v/>
      </c>
    </row>
    <row r="1354" spans="1:6" ht="14.1" customHeight="1">
      <c r="A1354" s="14">
        <f t="shared" si="41"/>
        <v>1350</v>
      </c>
      <c r="B1354" s="18"/>
      <c r="C1354" s="16" t="s">
        <v>1679</v>
      </c>
      <c r="D1354" s="19"/>
      <c r="E1354" s="19"/>
      <c r="F1354" s="203" t="str">
        <f t="shared" si="40"/>
        <v/>
      </c>
    </row>
    <row r="1355" spans="1:6" ht="14.1" customHeight="1">
      <c r="A1355" s="14">
        <f t="shared" si="41"/>
        <v>1351</v>
      </c>
      <c r="B1355" s="18"/>
      <c r="C1355" s="16" t="s">
        <v>1679</v>
      </c>
      <c r="D1355" s="19"/>
      <c r="E1355" s="19"/>
      <c r="F1355" s="203" t="str">
        <f t="shared" si="40"/>
        <v/>
      </c>
    </row>
    <row r="1356" spans="1:6" ht="14.1" customHeight="1">
      <c r="A1356" s="14">
        <f t="shared" si="41"/>
        <v>1352</v>
      </c>
      <c r="B1356" s="18"/>
      <c r="C1356" s="16" t="s">
        <v>1679</v>
      </c>
      <c r="D1356" s="19"/>
      <c r="E1356" s="19"/>
      <c r="F1356" s="203" t="str">
        <f t="shared" si="40"/>
        <v/>
      </c>
    </row>
    <row r="1357" spans="1:6" ht="14.1" customHeight="1">
      <c r="A1357" s="14">
        <f t="shared" si="41"/>
        <v>1353</v>
      </c>
      <c r="B1357" s="18"/>
      <c r="C1357" s="16" t="s">
        <v>1679</v>
      </c>
      <c r="D1357" s="19"/>
      <c r="E1357" s="19"/>
      <c r="F1357" s="203" t="str">
        <f t="shared" si="40"/>
        <v/>
      </c>
    </row>
    <row r="1358" spans="1:6" ht="14.1" customHeight="1">
      <c r="A1358" s="14">
        <f t="shared" si="41"/>
        <v>1354</v>
      </c>
      <c r="B1358" s="18"/>
      <c r="C1358" s="16" t="s">
        <v>1679</v>
      </c>
      <c r="D1358" s="19"/>
      <c r="E1358" s="19"/>
      <c r="F1358" s="203" t="str">
        <f t="shared" si="40"/>
        <v/>
      </c>
    </row>
    <row r="1359" spans="1:6" ht="14.1" customHeight="1">
      <c r="A1359" s="14">
        <f t="shared" si="41"/>
        <v>1355</v>
      </c>
      <c r="B1359" s="18"/>
      <c r="C1359" s="16" t="s">
        <v>1679</v>
      </c>
      <c r="D1359" s="19"/>
      <c r="E1359" s="19"/>
      <c r="F1359" s="203" t="str">
        <f t="shared" si="40"/>
        <v/>
      </c>
    </row>
    <row r="1360" spans="1:6" ht="14.1" customHeight="1">
      <c r="A1360" s="14">
        <f t="shared" si="41"/>
        <v>1356</v>
      </c>
      <c r="B1360" s="18"/>
      <c r="C1360" s="16" t="s">
        <v>1679</v>
      </c>
      <c r="D1360" s="19"/>
      <c r="E1360" s="19"/>
      <c r="F1360" s="203" t="str">
        <f t="shared" si="40"/>
        <v/>
      </c>
    </row>
    <row r="1361" spans="1:6" ht="14.1" customHeight="1">
      <c r="A1361" s="14">
        <f t="shared" si="41"/>
        <v>1357</v>
      </c>
      <c r="B1361" s="18"/>
      <c r="C1361" s="16" t="s">
        <v>1679</v>
      </c>
      <c r="D1361" s="19"/>
      <c r="E1361" s="19"/>
      <c r="F1361" s="203" t="str">
        <f t="shared" si="40"/>
        <v/>
      </c>
    </row>
    <row r="1362" spans="1:6" ht="14.1" customHeight="1">
      <c r="A1362" s="14">
        <f t="shared" si="41"/>
        <v>1358</v>
      </c>
      <c r="B1362" s="18"/>
      <c r="C1362" s="16" t="s">
        <v>1679</v>
      </c>
      <c r="D1362" s="19"/>
      <c r="E1362" s="19"/>
      <c r="F1362" s="203" t="str">
        <f t="shared" si="40"/>
        <v/>
      </c>
    </row>
    <row r="1363" spans="1:6" ht="14.1" customHeight="1">
      <c r="A1363" s="14">
        <f t="shared" si="41"/>
        <v>1359</v>
      </c>
      <c r="B1363" s="18"/>
      <c r="C1363" s="16" t="s">
        <v>1679</v>
      </c>
      <c r="D1363" s="19"/>
      <c r="E1363" s="19"/>
      <c r="F1363" s="203" t="str">
        <f t="shared" si="40"/>
        <v/>
      </c>
    </row>
    <row r="1364" spans="1:6" ht="14.1" customHeight="1">
      <c r="A1364" s="14">
        <f t="shared" si="41"/>
        <v>1360</v>
      </c>
      <c r="B1364" s="18"/>
      <c r="C1364" s="16" t="s">
        <v>1679</v>
      </c>
      <c r="D1364" s="19"/>
      <c r="E1364" s="19"/>
      <c r="F1364" s="203" t="str">
        <f t="shared" si="40"/>
        <v/>
      </c>
    </row>
    <row r="1365" spans="1:6" ht="14.1" customHeight="1">
      <c r="A1365" s="14">
        <f t="shared" si="41"/>
        <v>1361</v>
      </c>
      <c r="B1365" s="18"/>
      <c r="C1365" s="16" t="s">
        <v>1679</v>
      </c>
      <c r="D1365" s="19"/>
      <c r="E1365" s="19"/>
      <c r="F1365" s="203" t="str">
        <f t="shared" si="40"/>
        <v/>
      </c>
    </row>
    <row r="1366" spans="1:6" ht="14.1" customHeight="1">
      <c r="A1366" s="14">
        <f t="shared" si="41"/>
        <v>1362</v>
      </c>
      <c r="B1366" s="18"/>
      <c r="C1366" s="16" t="s">
        <v>1679</v>
      </c>
      <c r="D1366" s="19"/>
      <c r="E1366" s="19"/>
      <c r="F1366" s="203" t="str">
        <f t="shared" si="40"/>
        <v/>
      </c>
    </row>
    <row r="1367" spans="1:6" ht="14.1" customHeight="1">
      <c r="A1367" s="14">
        <f t="shared" si="41"/>
        <v>1363</v>
      </c>
      <c r="B1367" s="18"/>
      <c r="C1367" s="16" t="s">
        <v>1679</v>
      </c>
      <c r="D1367" s="19"/>
      <c r="E1367" s="19"/>
      <c r="F1367" s="203" t="str">
        <f t="shared" si="40"/>
        <v/>
      </c>
    </row>
    <row r="1368" spans="1:6" ht="14.1" customHeight="1">
      <c r="A1368" s="14">
        <f t="shared" si="41"/>
        <v>1364</v>
      </c>
      <c r="B1368" s="18"/>
      <c r="C1368" s="16" t="s">
        <v>1679</v>
      </c>
      <c r="D1368" s="19"/>
      <c r="E1368" s="19"/>
      <c r="F1368" s="203" t="str">
        <f t="shared" si="40"/>
        <v/>
      </c>
    </row>
    <row r="1369" spans="1:6" ht="14.1" customHeight="1">
      <c r="A1369" s="14">
        <f t="shared" si="41"/>
        <v>1365</v>
      </c>
      <c r="B1369" s="18"/>
      <c r="C1369" s="16" t="s">
        <v>1679</v>
      </c>
      <c r="D1369" s="19"/>
      <c r="E1369" s="19"/>
      <c r="F1369" s="203" t="str">
        <f t="shared" si="40"/>
        <v/>
      </c>
    </row>
    <row r="1370" spans="1:6" ht="14.1" customHeight="1">
      <c r="A1370" s="14">
        <f t="shared" si="41"/>
        <v>1366</v>
      </c>
      <c r="B1370" s="18"/>
      <c r="C1370" s="16" t="s">
        <v>1679</v>
      </c>
      <c r="D1370" s="19"/>
      <c r="E1370" s="19"/>
      <c r="F1370" s="203" t="str">
        <f t="shared" si="40"/>
        <v/>
      </c>
    </row>
    <row r="1371" spans="1:6" ht="14.1" customHeight="1">
      <c r="A1371" s="14">
        <f t="shared" si="41"/>
        <v>1367</v>
      </c>
      <c r="B1371" s="18"/>
      <c r="C1371" s="16" t="s">
        <v>1679</v>
      </c>
      <c r="D1371" s="19"/>
      <c r="E1371" s="19"/>
      <c r="F1371" s="203" t="str">
        <f t="shared" si="40"/>
        <v/>
      </c>
    </row>
    <row r="1372" spans="1:6" ht="14.1" customHeight="1">
      <c r="A1372" s="14">
        <f t="shared" si="41"/>
        <v>1368</v>
      </c>
      <c r="B1372" s="18"/>
      <c r="C1372" s="16" t="s">
        <v>1679</v>
      </c>
      <c r="D1372" s="19"/>
      <c r="E1372" s="19"/>
      <c r="F1372" s="203" t="str">
        <f t="shared" si="40"/>
        <v/>
      </c>
    </row>
    <row r="1373" spans="1:6" ht="14.1" customHeight="1">
      <c r="A1373" s="14">
        <f t="shared" si="41"/>
        <v>1369</v>
      </c>
      <c r="B1373" s="18"/>
      <c r="C1373" s="16" t="s">
        <v>1679</v>
      </c>
      <c r="D1373" s="19"/>
      <c r="E1373" s="19"/>
      <c r="F1373" s="203" t="str">
        <f t="shared" si="40"/>
        <v/>
      </c>
    </row>
    <row r="1374" spans="1:6" ht="14.1" customHeight="1">
      <c r="A1374" s="14">
        <f t="shared" si="41"/>
        <v>1370</v>
      </c>
      <c r="B1374" s="18"/>
      <c r="C1374" s="16" t="s">
        <v>1679</v>
      </c>
      <c r="D1374" s="19"/>
      <c r="E1374" s="19"/>
      <c r="F1374" s="203" t="str">
        <f t="shared" si="40"/>
        <v/>
      </c>
    </row>
    <row r="1375" spans="1:6" ht="14.1" customHeight="1">
      <c r="A1375" s="14">
        <f t="shared" si="41"/>
        <v>1371</v>
      </c>
      <c r="B1375" s="18"/>
      <c r="C1375" s="16" t="s">
        <v>1679</v>
      </c>
      <c r="D1375" s="19"/>
      <c r="E1375" s="19"/>
      <c r="F1375" s="203" t="str">
        <f t="shared" si="40"/>
        <v/>
      </c>
    </row>
    <row r="1376" spans="1:6" ht="14.1" customHeight="1">
      <c r="A1376" s="14">
        <f t="shared" si="41"/>
        <v>1372</v>
      </c>
      <c r="B1376" s="18"/>
      <c r="C1376" s="16" t="s">
        <v>1679</v>
      </c>
      <c r="D1376" s="19"/>
      <c r="E1376" s="19"/>
      <c r="F1376" s="203" t="str">
        <f t="shared" si="40"/>
        <v/>
      </c>
    </row>
    <row r="1377" spans="1:6" ht="14.1" customHeight="1">
      <c r="A1377" s="14">
        <f t="shared" si="41"/>
        <v>1373</v>
      </c>
      <c r="B1377" s="18"/>
      <c r="C1377" s="16" t="s">
        <v>1679</v>
      </c>
      <c r="D1377" s="19"/>
      <c r="E1377" s="19"/>
      <c r="F1377" s="203" t="str">
        <f t="shared" si="40"/>
        <v/>
      </c>
    </row>
    <row r="1378" spans="1:6" ht="14.1" customHeight="1">
      <c r="A1378" s="14">
        <f t="shared" si="41"/>
        <v>1374</v>
      </c>
      <c r="B1378" s="18"/>
      <c r="C1378" s="16" t="s">
        <v>1679</v>
      </c>
      <c r="D1378" s="19"/>
      <c r="E1378" s="19"/>
      <c r="F1378" s="203" t="str">
        <f t="shared" si="40"/>
        <v/>
      </c>
    </row>
    <row r="1379" spans="1:6" ht="14.1" customHeight="1">
      <c r="A1379" s="14">
        <f t="shared" si="41"/>
        <v>1375</v>
      </c>
      <c r="B1379" s="18"/>
      <c r="C1379" s="16" t="s">
        <v>1679</v>
      </c>
      <c r="D1379" s="19"/>
      <c r="E1379" s="19"/>
      <c r="F1379" s="203" t="str">
        <f t="shared" si="40"/>
        <v/>
      </c>
    </row>
    <row r="1380" spans="1:6" ht="14.1" customHeight="1">
      <c r="A1380" s="14">
        <f t="shared" si="41"/>
        <v>1376</v>
      </c>
      <c r="B1380" s="18"/>
      <c r="C1380" s="16" t="s">
        <v>1679</v>
      </c>
      <c r="D1380" s="19"/>
      <c r="E1380" s="19"/>
      <c r="F1380" s="203" t="str">
        <f t="shared" si="40"/>
        <v/>
      </c>
    </row>
    <row r="1381" spans="1:6" ht="14.1" customHeight="1">
      <c r="A1381" s="14">
        <f t="shared" si="41"/>
        <v>1377</v>
      </c>
      <c r="B1381" s="18"/>
      <c r="C1381" s="16" t="s">
        <v>1679</v>
      </c>
      <c r="D1381" s="19"/>
      <c r="E1381" s="19"/>
      <c r="F1381" s="203" t="str">
        <f t="shared" si="40"/>
        <v/>
      </c>
    </row>
    <row r="1382" spans="1:6" ht="14.1" customHeight="1">
      <c r="A1382" s="14">
        <f t="shared" si="41"/>
        <v>1378</v>
      </c>
      <c r="B1382" s="18"/>
      <c r="C1382" s="16" t="s">
        <v>1679</v>
      </c>
      <c r="D1382" s="19"/>
      <c r="E1382" s="19"/>
      <c r="F1382" s="203" t="str">
        <f t="shared" si="40"/>
        <v/>
      </c>
    </row>
    <row r="1383" spans="1:6" ht="14.1" customHeight="1">
      <c r="A1383" s="14">
        <f t="shared" si="41"/>
        <v>1379</v>
      </c>
      <c r="B1383" s="18"/>
      <c r="C1383" s="16" t="s">
        <v>1679</v>
      </c>
      <c r="D1383" s="19"/>
      <c r="E1383" s="19"/>
      <c r="F1383" s="203" t="str">
        <f t="shared" si="40"/>
        <v/>
      </c>
    </row>
    <row r="1384" spans="1:6" ht="14.1" customHeight="1">
      <c r="A1384" s="14">
        <f t="shared" si="41"/>
        <v>1380</v>
      </c>
      <c r="B1384" s="18"/>
      <c r="C1384" s="16" t="s">
        <v>1679</v>
      </c>
      <c r="D1384" s="19"/>
      <c r="E1384" s="19"/>
      <c r="F1384" s="203" t="str">
        <f t="shared" si="40"/>
        <v/>
      </c>
    </row>
    <row r="1385" spans="1:6" ht="14.1" customHeight="1">
      <c r="A1385" s="14">
        <f t="shared" si="41"/>
        <v>1381</v>
      </c>
      <c r="B1385" s="18"/>
      <c r="C1385" s="16" t="s">
        <v>1679</v>
      </c>
      <c r="D1385" s="19"/>
      <c r="E1385" s="19"/>
      <c r="F1385" s="203" t="str">
        <f t="shared" si="40"/>
        <v/>
      </c>
    </row>
    <row r="1386" spans="1:6" ht="14.1" customHeight="1">
      <c r="A1386" s="14">
        <f t="shared" si="41"/>
        <v>1382</v>
      </c>
      <c r="B1386" s="18"/>
      <c r="C1386" s="16" t="s">
        <v>1679</v>
      </c>
      <c r="D1386" s="19"/>
      <c r="E1386" s="19"/>
      <c r="F1386" s="203" t="str">
        <f t="shared" ref="F1386:F1449" si="42">IF(AND(B1387&lt;&gt;"",B1386=""),"Don't skip lines",IF(AND(D1386="",B1386&lt;&gt;""),"Enter U-value",IF(AND(D1386&lt;&gt;"",B1386=""),"Enter Description","")))</f>
        <v/>
      </c>
    </row>
    <row r="1387" spans="1:6" ht="14.1" customHeight="1">
      <c r="A1387" s="14">
        <f t="shared" si="41"/>
        <v>1383</v>
      </c>
      <c r="B1387" s="18"/>
      <c r="C1387" s="16" t="s">
        <v>1679</v>
      </c>
      <c r="D1387" s="19"/>
      <c r="E1387" s="19"/>
      <c r="F1387" s="203" t="str">
        <f t="shared" si="42"/>
        <v/>
      </c>
    </row>
    <row r="1388" spans="1:6" ht="14.1" customHeight="1">
      <c r="A1388" s="14">
        <f t="shared" si="41"/>
        <v>1384</v>
      </c>
      <c r="B1388" s="18"/>
      <c r="C1388" s="16" t="s">
        <v>1679</v>
      </c>
      <c r="D1388" s="19"/>
      <c r="E1388" s="19"/>
      <c r="F1388" s="203" t="str">
        <f t="shared" si="42"/>
        <v/>
      </c>
    </row>
    <row r="1389" spans="1:6" ht="14.1" customHeight="1">
      <c r="A1389" s="14">
        <f t="shared" si="41"/>
        <v>1385</v>
      </c>
      <c r="B1389" s="18"/>
      <c r="C1389" s="16" t="s">
        <v>1679</v>
      </c>
      <c r="D1389" s="19"/>
      <c r="E1389" s="19"/>
      <c r="F1389" s="203" t="str">
        <f t="shared" si="42"/>
        <v/>
      </c>
    </row>
    <row r="1390" spans="1:6" ht="14.1" customHeight="1">
      <c r="A1390" s="14">
        <f t="shared" si="41"/>
        <v>1386</v>
      </c>
      <c r="B1390" s="18"/>
      <c r="C1390" s="16" t="s">
        <v>1679</v>
      </c>
      <c r="D1390" s="19"/>
      <c r="E1390" s="19"/>
      <c r="F1390" s="203" t="str">
        <f t="shared" si="42"/>
        <v/>
      </c>
    </row>
    <row r="1391" spans="1:6" ht="14.1" customHeight="1">
      <c r="A1391" s="14">
        <f t="shared" si="41"/>
        <v>1387</v>
      </c>
      <c r="B1391" s="18"/>
      <c r="C1391" s="16" t="s">
        <v>1679</v>
      </c>
      <c r="D1391" s="19"/>
      <c r="E1391" s="19"/>
      <c r="F1391" s="203" t="str">
        <f t="shared" si="42"/>
        <v/>
      </c>
    </row>
    <row r="1392" spans="1:6" ht="14.1" customHeight="1">
      <c r="A1392" s="14">
        <f t="shared" si="41"/>
        <v>1388</v>
      </c>
      <c r="B1392" s="18"/>
      <c r="C1392" s="16" t="s">
        <v>1679</v>
      </c>
      <c r="D1392" s="19"/>
      <c r="E1392" s="19"/>
      <c r="F1392" s="203" t="str">
        <f t="shared" si="42"/>
        <v/>
      </c>
    </row>
    <row r="1393" spans="1:6" ht="14.1" customHeight="1">
      <c r="A1393" s="14">
        <f t="shared" si="41"/>
        <v>1389</v>
      </c>
      <c r="B1393" s="18"/>
      <c r="C1393" s="16" t="s">
        <v>1679</v>
      </c>
      <c r="D1393" s="19"/>
      <c r="E1393" s="19"/>
      <c r="F1393" s="203" t="str">
        <f t="shared" si="42"/>
        <v/>
      </c>
    </row>
    <row r="1394" spans="1:6" ht="14.1" customHeight="1">
      <c r="A1394" s="14">
        <f t="shared" si="41"/>
        <v>1390</v>
      </c>
      <c r="B1394" s="18"/>
      <c r="C1394" s="16" t="s">
        <v>1679</v>
      </c>
      <c r="D1394" s="19"/>
      <c r="E1394" s="19"/>
      <c r="F1394" s="203" t="str">
        <f t="shared" si="42"/>
        <v/>
      </c>
    </row>
    <row r="1395" spans="1:6" ht="14.1" customHeight="1">
      <c r="A1395" s="14">
        <f t="shared" si="41"/>
        <v>1391</v>
      </c>
      <c r="B1395" s="18"/>
      <c r="C1395" s="16" t="s">
        <v>1679</v>
      </c>
      <c r="D1395" s="19"/>
      <c r="E1395" s="19"/>
      <c r="F1395" s="203" t="str">
        <f t="shared" si="42"/>
        <v/>
      </c>
    </row>
    <row r="1396" spans="1:6" ht="14.1" customHeight="1">
      <c r="A1396" s="14">
        <f t="shared" si="41"/>
        <v>1392</v>
      </c>
      <c r="B1396" s="18"/>
      <c r="C1396" s="16" t="s">
        <v>1679</v>
      </c>
      <c r="D1396" s="19"/>
      <c r="E1396" s="19"/>
      <c r="F1396" s="203" t="str">
        <f t="shared" si="42"/>
        <v/>
      </c>
    </row>
    <row r="1397" spans="1:6" ht="14.1" customHeight="1">
      <c r="A1397" s="14">
        <f t="shared" si="41"/>
        <v>1393</v>
      </c>
      <c r="B1397" s="18"/>
      <c r="C1397" s="16" t="s">
        <v>1679</v>
      </c>
      <c r="D1397" s="19"/>
      <c r="E1397" s="19"/>
      <c r="F1397" s="203" t="str">
        <f t="shared" si="42"/>
        <v/>
      </c>
    </row>
    <row r="1398" spans="1:6" ht="14.1" customHeight="1">
      <c r="A1398" s="14">
        <f t="shared" si="41"/>
        <v>1394</v>
      </c>
      <c r="B1398" s="18"/>
      <c r="C1398" s="16" t="s">
        <v>1679</v>
      </c>
      <c r="D1398" s="19"/>
      <c r="E1398" s="19"/>
      <c r="F1398" s="203" t="str">
        <f t="shared" si="42"/>
        <v/>
      </c>
    </row>
    <row r="1399" spans="1:6" ht="14.1" customHeight="1">
      <c r="A1399" s="14">
        <f t="shared" si="41"/>
        <v>1395</v>
      </c>
      <c r="B1399" s="18"/>
      <c r="C1399" s="16" t="s">
        <v>1679</v>
      </c>
      <c r="D1399" s="19"/>
      <c r="E1399" s="19"/>
      <c r="F1399" s="203" t="str">
        <f t="shared" si="42"/>
        <v/>
      </c>
    </row>
    <row r="1400" spans="1:6" ht="14.1" customHeight="1">
      <c r="A1400" s="14">
        <f t="shared" si="41"/>
        <v>1396</v>
      </c>
      <c r="B1400" s="18"/>
      <c r="C1400" s="16" t="s">
        <v>1679</v>
      </c>
      <c r="D1400" s="19"/>
      <c r="E1400" s="19"/>
      <c r="F1400" s="203" t="str">
        <f t="shared" si="42"/>
        <v/>
      </c>
    </row>
    <row r="1401" spans="1:6" ht="14.1" customHeight="1">
      <c r="A1401" s="14">
        <f t="shared" si="41"/>
        <v>1397</v>
      </c>
      <c r="B1401" s="18"/>
      <c r="C1401" s="16" t="s">
        <v>1679</v>
      </c>
      <c r="D1401" s="19"/>
      <c r="E1401" s="19"/>
      <c r="F1401" s="203" t="str">
        <f t="shared" si="42"/>
        <v/>
      </c>
    </row>
    <row r="1402" spans="1:6" ht="14.1" customHeight="1">
      <c r="A1402" s="14">
        <f t="shared" si="41"/>
        <v>1398</v>
      </c>
      <c r="B1402" s="18"/>
      <c r="C1402" s="16" t="s">
        <v>1679</v>
      </c>
      <c r="D1402" s="19"/>
      <c r="E1402" s="19"/>
      <c r="F1402" s="203" t="str">
        <f t="shared" si="42"/>
        <v/>
      </c>
    </row>
    <row r="1403" spans="1:6" ht="14.1" customHeight="1">
      <c r="A1403" s="14">
        <f t="shared" si="41"/>
        <v>1399</v>
      </c>
      <c r="B1403" s="18"/>
      <c r="C1403" s="16" t="s">
        <v>1679</v>
      </c>
      <c r="D1403" s="19"/>
      <c r="E1403" s="19"/>
      <c r="F1403" s="203" t="str">
        <f t="shared" si="42"/>
        <v/>
      </c>
    </row>
    <row r="1404" spans="1:6" ht="14.1" customHeight="1">
      <c r="A1404" s="14">
        <f t="shared" si="41"/>
        <v>1400</v>
      </c>
      <c r="B1404" s="18"/>
      <c r="C1404" s="16" t="s">
        <v>1679</v>
      </c>
      <c r="D1404" s="19"/>
      <c r="E1404" s="19"/>
      <c r="F1404" s="203" t="str">
        <f t="shared" si="42"/>
        <v/>
      </c>
    </row>
    <row r="1405" spans="1:6" ht="14.1" customHeight="1">
      <c r="A1405" s="14">
        <f t="shared" si="41"/>
        <v>1401</v>
      </c>
      <c r="B1405" s="18"/>
      <c r="C1405" s="16" t="s">
        <v>1679</v>
      </c>
      <c r="D1405" s="19"/>
      <c r="E1405" s="19"/>
      <c r="F1405" s="203" t="str">
        <f t="shared" si="42"/>
        <v/>
      </c>
    </row>
    <row r="1406" spans="1:6" ht="14.1" customHeight="1">
      <c r="A1406" s="14">
        <f t="shared" si="41"/>
        <v>1402</v>
      </c>
      <c r="B1406" s="18"/>
      <c r="C1406" s="16" t="s">
        <v>1679</v>
      </c>
      <c r="D1406" s="19"/>
      <c r="E1406" s="19"/>
      <c r="F1406" s="203" t="str">
        <f t="shared" si="42"/>
        <v/>
      </c>
    </row>
    <row r="1407" spans="1:6" ht="14.1" customHeight="1">
      <c r="A1407" s="14">
        <f t="shared" si="41"/>
        <v>1403</v>
      </c>
      <c r="B1407" s="18"/>
      <c r="C1407" s="16" t="s">
        <v>1679</v>
      </c>
      <c r="D1407" s="19"/>
      <c r="E1407" s="19"/>
      <c r="F1407" s="203" t="str">
        <f t="shared" si="42"/>
        <v/>
      </c>
    </row>
    <row r="1408" spans="1:6" ht="14.1" customHeight="1">
      <c r="A1408" s="14">
        <f t="shared" si="41"/>
        <v>1404</v>
      </c>
      <c r="B1408" s="18"/>
      <c r="C1408" s="16" t="s">
        <v>1679</v>
      </c>
      <c r="D1408" s="19"/>
      <c r="E1408" s="19"/>
      <c r="F1408" s="203" t="str">
        <f t="shared" si="42"/>
        <v/>
      </c>
    </row>
    <row r="1409" spans="1:6" ht="14.1" customHeight="1">
      <c r="A1409" s="14">
        <f t="shared" si="41"/>
        <v>1405</v>
      </c>
      <c r="B1409" s="18"/>
      <c r="C1409" s="16" t="s">
        <v>1679</v>
      </c>
      <c r="D1409" s="19"/>
      <c r="E1409" s="19"/>
      <c r="F1409" s="203" t="str">
        <f t="shared" si="42"/>
        <v/>
      </c>
    </row>
    <row r="1410" spans="1:6" ht="14.1" customHeight="1">
      <c r="A1410" s="14">
        <f t="shared" si="41"/>
        <v>1406</v>
      </c>
      <c r="B1410" s="18"/>
      <c r="C1410" s="16" t="s">
        <v>1679</v>
      </c>
      <c r="D1410" s="19"/>
      <c r="E1410" s="19"/>
      <c r="F1410" s="203" t="str">
        <f t="shared" si="42"/>
        <v/>
      </c>
    </row>
    <row r="1411" spans="1:6" ht="14.1" customHeight="1">
      <c r="A1411" s="14">
        <f t="shared" ref="A1411:A1474" si="43">A1410+1</f>
        <v>1407</v>
      </c>
      <c r="B1411" s="18"/>
      <c r="C1411" s="16" t="s">
        <v>1679</v>
      </c>
      <c r="D1411" s="19"/>
      <c r="E1411" s="19"/>
      <c r="F1411" s="203" t="str">
        <f t="shared" si="42"/>
        <v/>
      </c>
    </row>
    <row r="1412" spans="1:6" ht="14.1" customHeight="1">
      <c r="A1412" s="14">
        <f t="shared" si="43"/>
        <v>1408</v>
      </c>
      <c r="B1412" s="18"/>
      <c r="C1412" s="16" t="s">
        <v>1679</v>
      </c>
      <c r="D1412" s="19"/>
      <c r="E1412" s="19"/>
      <c r="F1412" s="203" t="str">
        <f t="shared" si="42"/>
        <v/>
      </c>
    </row>
    <row r="1413" spans="1:6" ht="14.1" customHeight="1">
      <c r="A1413" s="14">
        <f t="shared" si="43"/>
        <v>1409</v>
      </c>
      <c r="B1413" s="18"/>
      <c r="C1413" s="16" t="s">
        <v>1679</v>
      </c>
      <c r="D1413" s="19"/>
      <c r="E1413" s="19"/>
      <c r="F1413" s="203" t="str">
        <f t="shared" si="42"/>
        <v/>
      </c>
    </row>
    <row r="1414" spans="1:6" ht="14.1" customHeight="1">
      <c r="A1414" s="14">
        <f t="shared" si="43"/>
        <v>1410</v>
      </c>
      <c r="B1414" s="18"/>
      <c r="C1414" s="16" t="s">
        <v>1679</v>
      </c>
      <c r="D1414" s="19"/>
      <c r="E1414" s="19"/>
      <c r="F1414" s="203" t="str">
        <f t="shared" si="42"/>
        <v/>
      </c>
    </row>
    <row r="1415" spans="1:6" ht="14.1" customHeight="1">
      <c r="A1415" s="14">
        <f t="shared" si="43"/>
        <v>1411</v>
      </c>
      <c r="B1415" s="18"/>
      <c r="C1415" s="16" t="s">
        <v>1679</v>
      </c>
      <c r="D1415" s="19"/>
      <c r="E1415" s="19"/>
      <c r="F1415" s="203" t="str">
        <f t="shared" si="42"/>
        <v/>
      </c>
    </row>
    <row r="1416" spans="1:6" ht="14.1" customHeight="1">
      <c r="A1416" s="14">
        <f t="shared" si="43"/>
        <v>1412</v>
      </c>
      <c r="B1416" s="18"/>
      <c r="C1416" s="16" t="s">
        <v>1679</v>
      </c>
      <c r="D1416" s="19"/>
      <c r="E1416" s="19"/>
      <c r="F1416" s="203" t="str">
        <f t="shared" si="42"/>
        <v/>
      </c>
    </row>
    <row r="1417" spans="1:6" ht="14.1" customHeight="1">
      <c r="A1417" s="14">
        <f t="shared" si="43"/>
        <v>1413</v>
      </c>
      <c r="B1417" s="18"/>
      <c r="C1417" s="16" t="s">
        <v>1679</v>
      </c>
      <c r="D1417" s="19"/>
      <c r="E1417" s="19"/>
      <c r="F1417" s="203" t="str">
        <f t="shared" si="42"/>
        <v/>
      </c>
    </row>
    <row r="1418" spans="1:6" ht="14.1" customHeight="1">
      <c r="A1418" s="14">
        <f t="shared" si="43"/>
        <v>1414</v>
      </c>
      <c r="B1418" s="18"/>
      <c r="C1418" s="16" t="s">
        <v>1679</v>
      </c>
      <c r="D1418" s="19"/>
      <c r="E1418" s="19"/>
      <c r="F1418" s="203" t="str">
        <f t="shared" si="42"/>
        <v/>
      </c>
    </row>
    <row r="1419" spans="1:6" ht="14.1" customHeight="1">
      <c r="A1419" s="14">
        <f t="shared" si="43"/>
        <v>1415</v>
      </c>
      <c r="B1419" s="18"/>
      <c r="C1419" s="16" t="s">
        <v>1679</v>
      </c>
      <c r="D1419" s="19"/>
      <c r="E1419" s="19"/>
      <c r="F1419" s="203" t="str">
        <f t="shared" si="42"/>
        <v/>
      </c>
    </row>
    <row r="1420" spans="1:6" ht="14.1" customHeight="1">
      <c r="A1420" s="14">
        <f t="shared" si="43"/>
        <v>1416</v>
      </c>
      <c r="B1420" s="18"/>
      <c r="C1420" s="16" t="s">
        <v>1679</v>
      </c>
      <c r="D1420" s="19"/>
      <c r="E1420" s="19"/>
      <c r="F1420" s="203" t="str">
        <f t="shared" si="42"/>
        <v/>
      </c>
    </row>
    <row r="1421" spans="1:6" ht="14.1" customHeight="1">
      <c r="A1421" s="14">
        <f t="shared" si="43"/>
        <v>1417</v>
      </c>
      <c r="B1421" s="18"/>
      <c r="C1421" s="16" t="s">
        <v>1679</v>
      </c>
      <c r="D1421" s="19"/>
      <c r="E1421" s="19"/>
      <c r="F1421" s="203" t="str">
        <f t="shared" si="42"/>
        <v/>
      </c>
    </row>
    <row r="1422" spans="1:6" ht="14.1" customHeight="1">
      <c r="A1422" s="14">
        <f t="shared" si="43"/>
        <v>1418</v>
      </c>
      <c r="B1422" s="18"/>
      <c r="C1422" s="16" t="s">
        <v>1679</v>
      </c>
      <c r="D1422" s="19"/>
      <c r="E1422" s="19"/>
      <c r="F1422" s="203" t="str">
        <f t="shared" si="42"/>
        <v/>
      </c>
    </row>
    <row r="1423" spans="1:6" ht="14.1" customHeight="1">
      <c r="A1423" s="14">
        <f t="shared" si="43"/>
        <v>1419</v>
      </c>
      <c r="B1423" s="18"/>
      <c r="C1423" s="16" t="s">
        <v>1679</v>
      </c>
      <c r="D1423" s="19"/>
      <c r="E1423" s="19"/>
      <c r="F1423" s="203" t="str">
        <f t="shared" si="42"/>
        <v/>
      </c>
    </row>
    <row r="1424" spans="1:6" ht="14.1" customHeight="1">
      <c r="A1424" s="14">
        <f t="shared" si="43"/>
        <v>1420</v>
      </c>
      <c r="B1424" s="18"/>
      <c r="C1424" s="16" t="s">
        <v>1679</v>
      </c>
      <c r="D1424" s="19"/>
      <c r="E1424" s="19"/>
      <c r="F1424" s="203" t="str">
        <f t="shared" si="42"/>
        <v/>
      </c>
    </row>
    <row r="1425" spans="1:6" ht="14.1" customHeight="1">
      <c r="A1425" s="14">
        <f t="shared" si="43"/>
        <v>1421</v>
      </c>
      <c r="B1425" s="18"/>
      <c r="C1425" s="16" t="s">
        <v>1679</v>
      </c>
      <c r="D1425" s="19"/>
      <c r="E1425" s="19"/>
      <c r="F1425" s="203" t="str">
        <f t="shared" si="42"/>
        <v/>
      </c>
    </row>
    <row r="1426" spans="1:6" ht="14.1" customHeight="1">
      <c r="A1426" s="14">
        <f t="shared" si="43"/>
        <v>1422</v>
      </c>
      <c r="B1426" s="18"/>
      <c r="C1426" s="16" t="s">
        <v>1679</v>
      </c>
      <c r="D1426" s="19"/>
      <c r="E1426" s="19"/>
      <c r="F1426" s="203" t="str">
        <f t="shared" si="42"/>
        <v/>
      </c>
    </row>
    <row r="1427" spans="1:6" ht="14.1" customHeight="1">
      <c r="A1427" s="14">
        <f t="shared" si="43"/>
        <v>1423</v>
      </c>
      <c r="B1427" s="18"/>
      <c r="C1427" s="16" t="s">
        <v>1679</v>
      </c>
      <c r="D1427" s="19"/>
      <c r="E1427" s="19"/>
      <c r="F1427" s="203" t="str">
        <f t="shared" si="42"/>
        <v/>
      </c>
    </row>
    <row r="1428" spans="1:6" ht="14.1" customHeight="1">
      <c r="A1428" s="14">
        <f t="shared" si="43"/>
        <v>1424</v>
      </c>
      <c r="B1428" s="18"/>
      <c r="C1428" s="16" t="s">
        <v>1679</v>
      </c>
      <c r="D1428" s="19"/>
      <c r="E1428" s="19"/>
      <c r="F1428" s="203" t="str">
        <f t="shared" si="42"/>
        <v/>
      </c>
    </row>
    <row r="1429" spans="1:6" ht="14.1" customHeight="1">
      <c r="A1429" s="14">
        <f t="shared" si="43"/>
        <v>1425</v>
      </c>
      <c r="B1429" s="18"/>
      <c r="C1429" s="16" t="s">
        <v>1679</v>
      </c>
      <c r="D1429" s="19"/>
      <c r="E1429" s="19"/>
      <c r="F1429" s="203" t="str">
        <f t="shared" si="42"/>
        <v/>
      </c>
    </row>
    <row r="1430" spans="1:6" ht="14.1" customHeight="1">
      <c r="A1430" s="14">
        <f t="shared" si="43"/>
        <v>1426</v>
      </c>
      <c r="B1430" s="18"/>
      <c r="C1430" s="16" t="s">
        <v>1679</v>
      </c>
      <c r="D1430" s="19"/>
      <c r="E1430" s="19"/>
      <c r="F1430" s="203" t="str">
        <f t="shared" si="42"/>
        <v/>
      </c>
    </row>
    <row r="1431" spans="1:6" ht="14.1" customHeight="1">
      <c r="A1431" s="14">
        <f t="shared" si="43"/>
        <v>1427</v>
      </c>
      <c r="B1431" s="18"/>
      <c r="C1431" s="16" t="s">
        <v>1679</v>
      </c>
      <c r="D1431" s="19"/>
      <c r="E1431" s="19"/>
      <c r="F1431" s="203" t="str">
        <f t="shared" si="42"/>
        <v/>
      </c>
    </row>
    <row r="1432" spans="1:6" ht="14.1" customHeight="1">
      <c r="A1432" s="14">
        <f t="shared" si="43"/>
        <v>1428</v>
      </c>
      <c r="B1432" s="18"/>
      <c r="C1432" s="16" t="s">
        <v>1679</v>
      </c>
      <c r="D1432" s="19"/>
      <c r="E1432" s="19"/>
      <c r="F1432" s="203" t="str">
        <f t="shared" si="42"/>
        <v/>
      </c>
    </row>
    <row r="1433" spans="1:6" ht="14.1" customHeight="1">
      <c r="A1433" s="14">
        <f t="shared" si="43"/>
        <v>1429</v>
      </c>
      <c r="B1433" s="18"/>
      <c r="C1433" s="16" t="s">
        <v>1679</v>
      </c>
      <c r="D1433" s="19"/>
      <c r="E1433" s="19"/>
      <c r="F1433" s="203" t="str">
        <f t="shared" si="42"/>
        <v/>
      </c>
    </row>
    <row r="1434" spans="1:6" ht="14.1" customHeight="1">
      <c r="A1434" s="14">
        <f t="shared" si="43"/>
        <v>1430</v>
      </c>
      <c r="B1434" s="18"/>
      <c r="C1434" s="16" t="s">
        <v>1679</v>
      </c>
      <c r="D1434" s="19"/>
      <c r="E1434" s="19"/>
      <c r="F1434" s="203" t="str">
        <f t="shared" si="42"/>
        <v/>
      </c>
    </row>
    <row r="1435" spans="1:6" ht="14.1" customHeight="1">
      <c r="A1435" s="14">
        <f t="shared" si="43"/>
        <v>1431</v>
      </c>
      <c r="B1435" s="18"/>
      <c r="C1435" s="16" t="s">
        <v>1679</v>
      </c>
      <c r="D1435" s="19"/>
      <c r="E1435" s="19"/>
      <c r="F1435" s="203" t="str">
        <f t="shared" si="42"/>
        <v/>
      </c>
    </row>
    <row r="1436" spans="1:6" ht="14.1" customHeight="1">
      <c r="A1436" s="14">
        <f t="shared" si="43"/>
        <v>1432</v>
      </c>
      <c r="B1436" s="18"/>
      <c r="C1436" s="16" t="s">
        <v>1679</v>
      </c>
      <c r="D1436" s="19"/>
      <c r="E1436" s="19"/>
      <c r="F1436" s="203" t="str">
        <f t="shared" si="42"/>
        <v/>
      </c>
    </row>
    <row r="1437" spans="1:6" ht="14.1" customHeight="1">
      <c r="A1437" s="14">
        <f t="shared" si="43"/>
        <v>1433</v>
      </c>
      <c r="B1437" s="18"/>
      <c r="C1437" s="16" t="s">
        <v>1679</v>
      </c>
      <c r="D1437" s="19"/>
      <c r="E1437" s="19"/>
      <c r="F1437" s="203" t="str">
        <f t="shared" si="42"/>
        <v/>
      </c>
    </row>
    <row r="1438" spans="1:6" ht="14.1" customHeight="1">
      <c r="A1438" s="14">
        <f t="shared" si="43"/>
        <v>1434</v>
      </c>
      <c r="B1438" s="18"/>
      <c r="C1438" s="16" t="s">
        <v>1679</v>
      </c>
      <c r="D1438" s="19"/>
      <c r="E1438" s="19"/>
      <c r="F1438" s="203" t="str">
        <f t="shared" si="42"/>
        <v/>
      </c>
    </row>
    <row r="1439" spans="1:6" ht="14.1" customHeight="1">
      <c r="A1439" s="14">
        <f t="shared" si="43"/>
        <v>1435</v>
      </c>
      <c r="B1439" s="18"/>
      <c r="C1439" s="16" t="s">
        <v>1679</v>
      </c>
      <c r="D1439" s="19"/>
      <c r="E1439" s="19"/>
      <c r="F1439" s="203" t="str">
        <f t="shared" si="42"/>
        <v/>
      </c>
    </row>
    <row r="1440" spans="1:6" ht="14.1" customHeight="1">
      <c r="A1440" s="14">
        <f t="shared" si="43"/>
        <v>1436</v>
      </c>
      <c r="B1440" s="18"/>
      <c r="C1440" s="16" t="s">
        <v>1679</v>
      </c>
      <c r="D1440" s="19"/>
      <c r="E1440" s="19"/>
      <c r="F1440" s="203" t="str">
        <f t="shared" si="42"/>
        <v/>
      </c>
    </row>
    <row r="1441" spans="1:6" ht="14.1" customHeight="1">
      <c r="A1441" s="14">
        <f t="shared" si="43"/>
        <v>1437</v>
      </c>
      <c r="B1441" s="18"/>
      <c r="C1441" s="16" t="s">
        <v>1679</v>
      </c>
      <c r="D1441" s="19"/>
      <c r="E1441" s="19"/>
      <c r="F1441" s="203" t="str">
        <f t="shared" si="42"/>
        <v/>
      </c>
    </row>
    <row r="1442" spans="1:6" ht="14.1" customHeight="1">
      <c r="A1442" s="14">
        <f t="shared" si="43"/>
        <v>1438</v>
      </c>
      <c r="B1442" s="18"/>
      <c r="C1442" s="16" t="s">
        <v>1679</v>
      </c>
      <c r="D1442" s="19"/>
      <c r="E1442" s="19"/>
      <c r="F1442" s="203" t="str">
        <f t="shared" si="42"/>
        <v/>
      </c>
    </row>
    <row r="1443" spans="1:6" ht="14.1" customHeight="1">
      <c r="A1443" s="14">
        <f t="shared" si="43"/>
        <v>1439</v>
      </c>
      <c r="B1443" s="18"/>
      <c r="C1443" s="16" t="s">
        <v>1679</v>
      </c>
      <c r="D1443" s="19"/>
      <c r="E1443" s="19"/>
      <c r="F1443" s="203" t="str">
        <f t="shared" si="42"/>
        <v/>
      </c>
    </row>
    <row r="1444" spans="1:6" ht="14.1" customHeight="1">
      <c r="A1444" s="14">
        <f t="shared" si="43"/>
        <v>1440</v>
      </c>
      <c r="B1444" s="18"/>
      <c r="C1444" s="16" t="s">
        <v>1679</v>
      </c>
      <c r="D1444" s="19"/>
      <c r="E1444" s="19"/>
      <c r="F1444" s="203" t="str">
        <f t="shared" si="42"/>
        <v/>
      </c>
    </row>
    <row r="1445" spans="1:6" ht="14.1" customHeight="1">
      <c r="A1445" s="14">
        <f t="shared" si="43"/>
        <v>1441</v>
      </c>
      <c r="B1445" s="18"/>
      <c r="C1445" s="16" t="s">
        <v>1679</v>
      </c>
      <c r="D1445" s="19"/>
      <c r="E1445" s="19"/>
      <c r="F1445" s="203" t="str">
        <f t="shared" si="42"/>
        <v/>
      </c>
    </row>
    <row r="1446" spans="1:6" ht="14.1" customHeight="1">
      <c r="A1446" s="14">
        <f t="shared" si="43"/>
        <v>1442</v>
      </c>
      <c r="B1446" s="18"/>
      <c r="C1446" s="16" t="s">
        <v>1679</v>
      </c>
      <c r="D1446" s="19"/>
      <c r="E1446" s="19"/>
      <c r="F1446" s="203" t="str">
        <f t="shared" si="42"/>
        <v/>
      </c>
    </row>
    <row r="1447" spans="1:6" ht="14.1" customHeight="1">
      <c r="A1447" s="14">
        <f t="shared" si="43"/>
        <v>1443</v>
      </c>
      <c r="B1447" s="18"/>
      <c r="C1447" s="16" t="s">
        <v>1679</v>
      </c>
      <c r="D1447" s="19"/>
      <c r="E1447" s="19"/>
      <c r="F1447" s="203" t="str">
        <f t="shared" si="42"/>
        <v/>
      </c>
    </row>
    <row r="1448" spans="1:6" ht="14.1" customHeight="1">
      <c r="A1448" s="14">
        <f t="shared" si="43"/>
        <v>1444</v>
      </c>
      <c r="B1448" s="18"/>
      <c r="C1448" s="16" t="s">
        <v>1679</v>
      </c>
      <c r="D1448" s="19"/>
      <c r="E1448" s="19"/>
      <c r="F1448" s="203" t="str">
        <f t="shared" si="42"/>
        <v/>
      </c>
    </row>
    <row r="1449" spans="1:6" ht="14.1" customHeight="1">
      <c r="A1449" s="14">
        <f t="shared" si="43"/>
        <v>1445</v>
      </c>
      <c r="B1449" s="18"/>
      <c r="C1449" s="16" t="s">
        <v>1679</v>
      </c>
      <c r="D1449" s="19"/>
      <c r="E1449" s="19"/>
      <c r="F1449" s="203" t="str">
        <f t="shared" si="42"/>
        <v/>
      </c>
    </row>
    <row r="1450" spans="1:6" ht="14.1" customHeight="1">
      <c r="A1450" s="14">
        <f t="shared" si="43"/>
        <v>1446</v>
      </c>
      <c r="B1450" s="18"/>
      <c r="C1450" s="16" t="s">
        <v>1679</v>
      </c>
      <c r="D1450" s="19"/>
      <c r="E1450" s="19"/>
      <c r="F1450" s="203" t="str">
        <f t="shared" ref="F1450:F1513" si="44">IF(AND(B1451&lt;&gt;"",B1450=""),"Don't skip lines",IF(AND(D1450="",B1450&lt;&gt;""),"Enter U-value",IF(AND(D1450&lt;&gt;"",B1450=""),"Enter Description","")))</f>
        <v/>
      </c>
    </row>
    <row r="1451" spans="1:6" ht="14.1" customHeight="1">
      <c r="A1451" s="14">
        <f t="shared" si="43"/>
        <v>1447</v>
      </c>
      <c r="B1451" s="18"/>
      <c r="C1451" s="16" t="s">
        <v>1679</v>
      </c>
      <c r="D1451" s="19"/>
      <c r="E1451" s="19"/>
      <c r="F1451" s="203" t="str">
        <f t="shared" si="44"/>
        <v/>
      </c>
    </row>
    <row r="1452" spans="1:6" ht="14.1" customHeight="1">
      <c r="A1452" s="14">
        <f t="shared" si="43"/>
        <v>1448</v>
      </c>
      <c r="B1452" s="18"/>
      <c r="C1452" s="16" t="s">
        <v>1679</v>
      </c>
      <c r="D1452" s="19"/>
      <c r="E1452" s="19"/>
      <c r="F1452" s="203" t="str">
        <f t="shared" si="44"/>
        <v/>
      </c>
    </row>
    <row r="1453" spans="1:6" ht="14.1" customHeight="1">
      <c r="A1453" s="14">
        <f t="shared" si="43"/>
        <v>1449</v>
      </c>
      <c r="B1453" s="18"/>
      <c r="C1453" s="16" t="s">
        <v>1679</v>
      </c>
      <c r="D1453" s="19"/>
      <c r="E1453" s="19"/>
      <c r="F1453" s="203" t="str">
        <f t="shared" si="44"/>
        <v/>
      </c>
    </row>
    <row r="1454" spans="1:6" ht="14.1" customHeight="1">
      <c r="A1454" s="14">
        <f t="shared" si="43"/>
        <v>1450</v>
      </c>
      <c r="B1454" s="18"/>
      <c r="C1454" s="16" t="s">
        <v>1679</v>
      </c>
      <c r="D1454" s="19"/>
      <c r="E1454" s="19"/>
      <c r="F1454" s="203" t="str">
        <f t="shared" si="44"/>
        <v/>
      </c>
    </row>
    <row r="1455" spans="1:6" ht="14.1" customHeight="1">
      <c r="A1455" s="14">
        <f t="shared" si="43"/>
        <v>1451</v>
      </c>
      <c r="B1455" s="18"/>
      <c r="C1455" s="16" t="s">
        <v>1679</v>
      </c>
      <c r="D1455" s="19"/>
      <c r="E1455" s="19"/>
      <c r="F1455" s="203" t="str">
        <f t="shared" si="44"/>
        <v/>
      </c>
    </row>
    <row r="1456" spans="1:6" ht="14.1" customHeight="1">
      <c r="A1456" s="14">
        <f t="shared" si="43"/>
        <v>1452</v>
      </c>
      <c r="B1456" s="18"/>
      <c r="C1456" s="16" t="s">
        <v>1679</v>
      </c>
      <c r="D1456" s="19"/>
      <c r="E1456" s="19"/>
      <c r="F1456" s="203" t="str">
        <f t="shared" si="44"/>
        <v/>
      </c>
    </row>
    <row r="1457" spans="1:6" ht="14.1" customHeight="1">
      <c r="A1457" s="14">
        <f t="shared" si="43"/>
        <v>1453</v>
      </c>
      <c r="B1457" s="18"/>
      <c r="C1457" s="16" t="s">
        <v>1679</v>
      </c>
      <c r="D1457" s="19"/>
      <c r="E1457" s="19"/>
      <c r="F1457" s="203" t="str">
        <f t="shared" si="44"/>
        <v/>
      </c>
    </row>
    <row r="1458" spans="1:6" ht="14.1" customHeight="1">
      <c r="A1458" s="14">
        <f t="shared" si="43"/>
        <v>1454</v>
      </c>
      <c r="B1458" s="18"/>
      <c r="C1458" s="16" t="s">
        <v>1679</v>
      </c>
      <c r="D1458" s="19"/>
      <c r="E1458" s="19"/>
      <c r="F1458" s="203" t="str">
        <f t="shared" si="44"/>
        <v/>
      </c>
    </row>
    <row r="1459" spans="1:6" ht="14.1" customHeight="1">
      <c r="A1459" s="14">
        <f t="shared" si="43"/>
        <v>1455</v>
      </c>
      <c r="B1459" s="18"/>
      <c r="C1459" s="16" t="s">
        <v>1679</v>
      </c>
      <c r="D1459" s="19"/>
      <c r="E1459" s="19"/>
      <c r="F1459" s="203" t="str">
        <f t="shared" si="44"/>
        <v/>
      </c>
    </row>
    <row r="1460" spans="1:6" ht="14.1" customHeight="1">
      <c r="A1460" s="14">
        <f t="shared" si="43"/>
        <v>1456</v>
      </c>
      <c r="B1460" s="18"/>
      <c r="C1460" s="16" t="s">
        <v>1679</v>
      </c>
      <c r="D1460" s="19"/>
      <c r="E1460" s="19"/>
      <c r="F1460" s="203" t="str">
        <f t="shared" si="44"/>
        <v/>
      </c>
    </row>
    <row r="1461" spans="1:6" ht="14.1" customHeight="1">
      <c r="A1461" s="14">
        <f t="shared" si="43"/>
        <v>1457</v>
      </c>
      <c r="B1461" s="18"/>
      <c r="C1461" s="16" t="s">
        <v>1679</v>
      </c>
      <c r="D1461" s="19"/>
      <c r="E1461" s="19"/>
      <c r="F1461" s="203" t="str">
        <f t="shared" si="44"/>
        <v/>
      </c>
    </row>
    <row r="1462" spans="1:6" ht="14.1" customHeight="1">
      <c r="A1462" s="14">
        <f t="shared" si="43"/>
        <v>1458</v>
      </c>
      <c r="B1462" s="18"/>
      <c r="C1462" s="16" t="s">
        <v>1679</v>
      </c>
      <c r="D1462" s="19"/>
      <c r="E1462" s="19"/>
      <c r="F1462" s="203" t="str">
        <f t="shared" si="44"/>
        <v/>
      </c>
    </row>
    <row r="1463" spans="1:6" ht="14.1" customHeight="1">
      <c r="A1463" s="14">
        <f t="shared" si="43"/>
        <v>1459</v>
      </c>
      <c r="B1463" s="18"/>
      <c r="C1463" s="16" t="s">
        <v>1679</v>
      </c>
      <c r="D1463" s="19"/>
      <c r="E1463" s="19"/>
      <c r="F1463" s="203" t="str">
        <f t="shared" si="44"/>
        <v/>
      </c>
    </row>
    <row r="1464" spans="1:6" ht="14.1" customHeight="1">
      <c r="A1464" s="14">
        <f t="shared" si="43"/>
        <v>1460</v>
      </c>
      <c r="B1464" s="18"/>
      <c r="C1464" s="16" t="s">
        <v>1679</v>
      </c>
      <c r="D1464" s="19"/>
      <c r="E1464" s="19"/>
      <c r="F1464" s="203" t="str">
        <f t="shared" si="44"/>
        <v/>
      </c>
    </row>
    <row r="1465" spans="1:6" ht="14.1" customHeight="1">
      <c r="A1465" s="14">
        <f t="shared" si="43"/>
        <v>1461</v>
      </c>
      <c r="B1465" s="18"/>
      <c r="C1465" s="16" t="s">
        <v>1679</v>
      </c>
      <c r="D1465" s="19"/>
      <c r="E1465" s="19"/>
      <c r="F1465" s="203" t="str">
        <f t="shared" si="44"/>
        <v/>
      </c>
    </row>
    <row r="1466" spans="1:6" ht="14.1" customHeight="1">
      <c r="A1466" s="14">
        <f t="shared" si="43"/>
        <v>1462</v>
      </c>
      <c r="B1466" s="18"/>
      <c r="C1466" s="16" t="s">
        <v>1679</v>
      </c>
      <c r="D1466" s="19"/>
      <c r="E1466" s="19"/>
      <c r="F1466" s="203" t="str">
        <f t="shared" si="44"/>
        <v/>
      </c>
    </row>
    <row r="1467" spans="1:6" ht="14.1" customHeight="1">
      <c r="A1467" s="14">
        <f t="shared" si="43"/>
        <v>1463</v>
      </c>
      <c r="B1467" s="18"/>
      <c r="C1467" s="16" t="s">
        <v>1679</v>
      </c>
      <c r="D1467" s="19"/>
      <c r="E1467" s="19"/>
      <c r="F1467" s="203" t="str">
        <f t="shared" si="44"/>
        <v/>
      </c>
    </row>
    <row r="1468" spans="1:6" ht="14.1" customHeight="1">
      <c r="A1468" s="14">
        <f t="shared" si="43"/>
        <v>1464</v>
      </c>
      <c r="B1468" s="18"/>
      <c r="C1468" s="16" t="s">
        <v>1679</v>
      </c>
      <c r="D1468" s="19"/>
      <c r="E1468" s="19"/>
      <c r="F1468" s="203" t="str">
        <f t="shared" si="44"/>
        <v/>
      </c>
    </row>
    <row r="1469" spans="1:6" ht="14.1" customHeight="1">
      <c r="A1469" s="14">
        <f t="shared" si="43"/>
        <v>1465</v>
      </c>
      <c r="B1469" s="18"/>
      <c r="C1469" s="16" t="s">
        <v>1679</v>
      </c>
      <c r="D1469" s="19"/>
      <c r="E1469" s="19"/>
      <c r="F1469" s="203" t="str">
        <f t="shared" si="44"/>
        <v/>
      </c>
    </row>
    <row r="1470" spans="1:6" ht="14.1" customHeight="1">
      <c r="A1470" s="14">
        <f t="shared" si="43"/>
        <v>1466</v>
      </c>
      <c r="B1470" s="18"/>
      <c r="C1470" s="16" t="s">
        <v>1679</v>
      </c>
      <c r="D1470" s="19"/>
      <c r="E1470" s="19"/>
      <c r="F1470" s="203" t="str">
        <f t="shared" si="44"/>
        <v/>
      </c>
    </row>
    <row r="1471" spans="1:6" ht="14.1" customHeight="1">
      <c r="A1471" s="14">
        <f t="shared" si="43"/>
        <v>1467</v>
      </c>
      <c r="B1471" s="18"/>
      <c r="C1471" s="16" t="s">
        <v>1679</v>
      </c>
      <c r="D1471" s="19"/>
      <c r="E1471" s="19"/>
      <c r="F1471" s="203" t="str">
        <f t="shared" si="44"/>
        <v/>
      </c>
    </row>
    <row r="1472" spans="1:6" ht="14.1" customHeight="1">
      <c r="A1472" s="14">
        <f t="shared" si="43"/>
        <v>1468</v>
      </c>
      <c r="B1472" s="18"/>
      <c r="C1472" s="16" t="s">
        <v>1679</v>
      </c>
      <c r="D1472" s="19"/>
      <c r="E1472" s="19"/>
      <c r="F1472" s="203" t="str">
        <f t="shared" si="44"/>
        <v/>
      </c>
    </row>
    <row r="1473" spans="1:6" ht="14.1" customHeight="1">
      <c r="A1473" s="14">
        <f t="shared" si="43"/>
        <v>1469</v>
      </c>
      <c r="B1473" s="18"/>
      <c r="C1473" s="16" t="s">
        <v>1679</v>
      </c>
      <c r="D1473" s="19"/>
      <c r="E1473" s="19"/>
      <c r="F1473" s="203" t="str">
        <f t="shared" si="44"/>
        <v/>
      </c>
    </row>
    <row r="1474" spans="1:6" ht="14.1" customHeight="1">
      <c r="A1474" s="14">
        <f t="shared" si="43"/>
        <v>1470</v>
      </c>
      <c r="B1474" s="18"/>
      <c r="C1474" s="16" t="s">
        <v>1679</v>
      </c>
      <c r="D1474" s="19"/>
      <c r="E1474" s="19"/>
      <c r="F1474" s="203" t="str">
        <f t="shared" si="44"/>
        <v/>
      </c>
    </row>
    <row r="1475" spans="1:6" ht="14.1" customHeight="1">
      <c r="A1475" s="14">
        <f t="shared" ref="A1475:A1538" si="45">A1474+1</f>
        <v>1471</v>
      </c>
      <c r="B1475" s="18"/>
      <c r="C1475" s="16" t="s">
        <v>1679</v>
      </c>
      <c r="D1475" s="19"/>
      <c r="E1475" s="19"/>
      <c r="F1475" s="203" t="str">
        <f t="shared" si="44"/>
        <v/>
      </c>
    </row>
    <row r="1476" spans="1:6" ht="14.1" customHeight="1">
      <c r="A1476" s="14">
        <f t="shared" si="45"/>
        <v>1472</v>
      </c>
      <c r="B1476" s="18"/>
      <c r="C1476" s="16" t="s">
        <v>1679</v>
      </c>
      <c r="D1476" s="19"/>
      <c r="E1476" s="19"/>
      <c r="F1476" s="203" t="str">
        <f t="shared" si="44"/>
        <v/>
      </c>
    </row>
    <row r="1477" spans="1:6" ht="14.1" customHeight="1">
      <c r="A1477" s="14">
        <f t="shared" si="45"/>
        <v>1473</v>
      </c>
      <c r="B1477" s="18"/>
      <c r="C1477" s="16" t="s">
        <v>1679</v>
      </c>
      <c r="D1477" s="19"/>
      <c r="E1477" s="19"/>
      <c r="F1477" s="203" t="str">
        <f t="shared" si="44"/>
        <v/>
      </c>
    </row>
    <row r="1478" spans="1:6" ht="14.1" customHeight="1">
      <c r="A1478" s="14">
        <f t="shared" si="45"/>
        <v>1474</v>
      </c>
      <c r="B1478" s="18"/>
      <c r="C1478" s="16" t="s">
        <v>1679</v>
      </c>
      <c r="D1478" s="19"/>
      <c r="E1478" s="19"/>
      <c r="F1478" s="203" t="str">
        <f t="shared" si="44"/>
        <v/>
      </c>
    </row>
    <row r="1479" spans="1:6" ht="14.1" customHeight="1">
      <c r="A1479" s="14">
        <f t="shared" si="45"/>
        <v>1475</v>
      </c>
      <c r="B1479" s="18"/>
      <c r="C1479" s="16" t="s">
        <v>1679</v>
      </c>
      <c r="D1479" s="19"/>
      <c r="E1479" s="19"/>
      <c r="F1479" s="203" t="str">
        <f t="shared" si="44"/>
        <v/>
      </c>
    </row>
    <row r="1480" spans="1:6" ht="14.1" customHeight="1">
      <c r="A1480" s="14">
        <f t="shared" si="45"/>
        <v>1476</v>
      </c>
      <c r="B1480" s="18"/>
      <c r="C1480" s="16" t="s">
        <v>1679</v>
      </c>
      <c r="D1480" s="19"/>
      <c r="E1480" s="19"/>
      <c r="F1480" s="203" t="str">
        <f t="shared" si="44"/>
        <v/>
      </c>
    </row>
    <row r="1481" spans="1:6" ht="14.1" customHeight="1">
      <c r="A1481" s="14">
        <f t="shared" si="45"/>
        <v>1477</v>
      </c>
      <c r="B1481" s="18"/>
      <c r="C1481" s="16" t="s">
        <v>1679</v>
      </c>
      <c r="D1481" s="19"/>
      <c r="E1481" s="19"/>
      <c r="F1481" s="203" t="str">
        <f t="shared" si="44"/>
        <v/>
      </c>
    </row>
    <row r="1482" spans="1:6" ht="14.1" customHeight="1">
      <c r="A1482" s="14">
        <f t="shared" si="45"/>
        <v>1478</v>
      </c>
      <c r="B1482" s="18"/>
      <c r="C1482" s="16" t="s">
        <v>1679</v>
      </c>
      <c r="D1482" s="19"/>
      <c r="E1482" s="19"/>
      <c r="F1482" s="203" t="str">
        <f t="shared" si="44"/>
        <v/>
      </c>
    </row>
    <row r="1483" spans="1:6" ht="14.1" customHeight="1">
      <c r="A1483" s="14">
        <f t="shared" si="45"/>
        <v>1479</v>
      </c>
      <c r="B1483" s="18"/>
      <c r="C1483" s="16" t="s">
        <v>1679</v>
      </c>
      <c r="D1483" s="19"/>
      <c r="E1483" s="19"/>
      <c r="F1483" s="203" t="str">
        <f t="shared" si="44"/>
        <v/>
      </c>
    </row>
    <row r="1484" spans="1:6" ht="14.1" customHeight="1">
      <c r="A1484" s="14">
        <f t="shared" si="45"/>
        <v>1480</v>
      </c>
      <c r="B1484" s="18"/>
      <c r="C1484" s="16" t="s">
        <v>1679</v>
      </c>
      <c r="D1484" s="19"/>
      <c r="E1484" s="19"/>
      <c r="F1484" s="203" t="str">
        <f t="shared" si="44"/>
        <v/>
      </c>
    </row>
    <row r="1485" spans="1:6" ht="14.1" customHeight="1">
      <c r="A1485" s="14">
        <f t="shared" si="45"/>
        <v>1481</v>
      </c>
      <c r="B1485" s="18"/>
      <c r="C1485" s="16" t="s">
        <v>1679</v>
      </c>
      <c r="D1485" s="19"/>
      <c r="E1485" s="19"/>
      <c r="F1485" s="203" t="str">
        <f t="shared" si="44"/>
        <v/>
      </c>
    </row>
    <row r="1486" spans="1:6" ht="14.1" customHeight="1">
      <c r="A1486" s="14">
        <f t="shared" si="45"/>
        <v>1482</v>
      </c>
      <c r="B1486" s="18"/>
      <c r="C1486" s="16" t="s">
        <v>1679</v>
      </c>
      <c r="D1486" s="19"/>
      <c r="E1486" s="19"/>
      <c r="F1486" s="203" t="str">
        <f t="shared" si="44"/>
        <v/>
      </c>
    </row>
    <row r="1487" spans="1:6" ht="14.1" customHeight="1">
      <c r="A1487" s="14">
        <f t="shared" si="45"/>
        <v>1483</v>
      </c>
      <c r="B1487" s="18"/>
      <c r="C1487" s="16" t="s">
        <v>1679</v>
      </c>
      <c r="D1487" s="19"/>
      <c r="E1487" s="19"/>
      <c r="F1487" s="203" t="str">
        <f t="shared" si="44"/>
        <v/>
      </c>
    </row>
    <row r="1488" spans="1:6" ht="14.1" customHeight="1">
      <c r="A1488" s="14">
        <f t="shared" si="45"/>
        <v>1484</v>
      </c>
      <c r="B1488" s="18"/>
      <c r="C1488" s="16" t="s">
        <v>1679</v>
      </c>
      <c r="D1488" s="19"/>
      <c r="E1488" s="19"/>
      <c r="F1488" s="203" t="str">
        <f t="shared" si="44"/>
        <v/>
      </c>
    </row>
    <row r="1489" spans="1:6" ht="14.1" customHeight="1">
      <c r="A1489" s="14">
        <f t="shared" si="45"/>
        <v>1485</v>
      </c>
      <c r="B1489" s="18"/>
      <c r="C1489" s="16" t="s">
        <v>1679</v>
      </c>
      <c r="D1489" s="19"/>
      <c r="E1489" s="19"/>
      <c r="F1489" s="203" t="str">
        <f t="shared" si="44"/>
        <v/>
      </c>
    </row>
    <row r="1490" spans="1:6" ht="14.1" customHeight="1">
      <c r="A1490" s="14">
        <f t="shared" si="45"/>
        <v>1486</v>
      </c>
      <c r="B1490" s="18"/>
      <c r="C1490" s="16" t="s">
        <v>1679</v>
      </c>
      <c r="D1490" s="19"/>
      <c r="E1490" s="19"/>
      <c r="F1490" s="203" t="str">
        <f t="shared" si="44"/>
        <v/>
      </c>
    </row>
    <row r="1491" spans="1:6" ht="14.1" customHeight="1">
      <c r="A1491" s="14">
        <f t="shared" si="45"/>
        <v>1487</v>
      </c>
      <c r="B1491" s="18"/>
      <c r="C1491" s="16" t="s">
        <v>1679</v>
      </c>
      <c r="D1491" s="19"/>
      <c r="E1491" s="19"/>
      <c r="F1491" s="203" t="str">
        <f t="shared" si="44"/>
        <v/>
      </c>
    </row>
    <row r="1492" spans="1:6" ht="14.1" customHeight="1">
      <c r="A1492" s="14">
        <f t="shared" si="45"/>
        <v>1488</v>
      </c>
      <c r="B1492" s="18"/>
      <c r="C1492" s="16" t="s">
        <v>1679</v>
      </c>
      <c r="D1492" s="19"/>
      <c r="E1492" s="19"/>
      <c r="F1492" s="203" t="str">
        <f t="shared" si="44"/>
        <v/>
      </c>
    </row>
    <row r="1493" spans="1:6" ht="14.1" customHeight="1">
      <c r="A1493" s="14">
        <f t="shared" si="45"/>
        <v>1489</v>
      </c>
      <c r="B1493" s="18"/>
      <c r="C1493" s="16" t="s">
        <v>1679</v>
      </c>
      <c r="D1493" s="19"/>
      <c r="E1493" s="19"/>
      <c r="F1493" s="203" t="str">
        <f t="shared" si="44"/>
        <v/>
      </c>
    </row>
    <row r="1494" spans="1:6" ht="14.1" customHeight="1">
      <c r="A1494" s="14">
        <f t="shared" si="45"/>
        <v>1490</v>
      </c>
      <c r="B1494" s="18"/>
      <c r="C1494" s="16" t="s">
        <v>1679</v>
      </c>
      <c r="D1494" s="19"/>
      <c r="E1494" s="19"/>
      <c r="F1494" s="203" t="str">
        <f t="shared" si="44"/>
        <v/>
      </c>
    </row>
    <row r="1495" spans="1:6" ht="14.1" customHeight="1">
      <c r="A1495" s="14">
        <f t="shared" si="45"/>
        <v>1491</v>
      </c>
      <c r="B1495" s="18"/>
      <c r="C1495" s="16" t="s">
        <v>1679</v>
      </c>
      <c r="D1495" s="19"/>
      <c r="E1495" s="19"/>
      <c r="F1495" s="203" t="str">
        <f t="shared" si="44"/>
        <v/>
      </c>
    </row>
    <row r="1496" spans="1:6" ht="14.1" customHeight="1">
      <c r="A1496" s="14">
        <f t="shared" si="45"/>
        <v>1492</v>
      </c>
      <c r="B1496" s="18"/>
      <c r="C1496" s="16" t="s">
        <v>1679</v>
      </c>
      <c r="D1496" s="19"/>
      <c r="E1496" s="19"/>
      <c r="F1496" s="203" t="str">
        <f t="shared" si="44"/>
        <v/>
      </c>
    </row>
    <row r="1497" spans="1:6" ht="14.1" customHeight="1">
      <c r="A1497" s="14">
        <f t="shared" si="45"/>
        <v>1493</v>
      </c>
      <c r="B1497" s="18"/>
      <c r="C1497" s="16" t="s">
        <v>1679</v>
      </c>
      <c r="D1497" s="19"/>
      <c r="E1497" s="19"/>
      <c r="F1497" s="203" t="str">
        <f t="shared" si="44"/>
        <v/>
      </c>
    </row>
    <row r="1498" spans="1:6" ht="14.1" customHeight="1">
      <c r="A1498" s="14">
        <f t="shared" si="45"/>
        <v>1494</v>
      </c>
      <c r="B1498" s="18"/>
      <c r="C1498" s="16" t="s">
        <v>1679</v>
      </c>
      <c r="D1498" s="19"/>
      <c r="E1498" s="19"/>
      <c r="F1498" s="203" t="str">
        <f t="shared" si="44"/>
        <v/>
      </c>
    </row>
    <row r="1499" spans="1:6" ht="14.1" customHeight="1">
      <c r="A1499" s="14">
        <f t="shared" si="45"/>
        <v>1495</v>
      </c>
      <c r="B1499" s="18"/>
      <c r="C1499" s="16" t="s">
        <v>1679</v>
      </c>
      <c r="D1499" s="19"/>
      <c r="E1499" s="19"/>
      <c r="F1499" s="203" t="str">
        <f t="shared" si="44"/>
        <v/>
      </c>
    </row>
    <row r="1500" spans="1:6" ht="14.1" customHeight="1">
      <c r="A1500" s="14">
        <f t="shared" si="45"/>
        <v>1496</v>
      </c>
      <c r="B1500" s="18"/>
      <c r="C1500" s="16" t="s">
        <v>1679</v>
      </c>
      <c r="D1500" s="19"/>
      <c r="E1500" s="19"/>
      <c r="F1500" s="203" t="str">
        <f t="shared" si="44"/>
        <v/>
      </c>
    </row>
    <row r="1501" spans="1:6" ht="14.1" customHeight="1">
      <c r="A1501" s="14">
        <f t="shared" si="45"/>
        <v>1497</v>
      </c>
      <c r="B1501" s="18"/>
      <c r="C1501" s="16" t="s">
        <v>1679</v>
      </c>
      <c r="D1501" s="19"/>
      <c r="E1501" s="19"/>
      <c r="F1501" s="203" t="str">
        <f t="shared" si="44"/>
        <v/>
      </c>
    </row>
    <row r="1502" spans="1:6" ht="14.1" customHeight="1">
      <c r="A1502" s="14">
        <f t="shared" si="45"/>
        <v>1498</v>
      </c>
      <c r="B1502" s="18"/>
      <c r="C1502" s="16" t="s">
        <v>1679</v>
      </c>
      <c r="D1502" s="19"/>
      <c r="E1502" s="19"/>
      <c r="F1502" s="203" t="str">
        <f t="shared" si="44"/>
        <v/>
      </c>
    </row>
    <row r="1503" spans="1:6" ht="14.1" customHeight="1">
      <c r="A1503" s="14">
        <f t="shared" si="45"/>
        <v>1499</v>
      </c>
      <c r="B1503" s="18"/>
      <c r="C1503" s="16" t="s">
        <v>1679</v>
      </c>
      <c r="D1503" s="19"/>
      <c r="E1503" s="19"/>
      <c r="F1503" s="203" t="str">
        <f t="shared" si="44"/>
        <v/>
      </c>
    </row>
    <row r="1504" spans="1:6" ht="14.1" customHeight="1">
      <c r="A1504" s="14">
        <f t="shared" si="45"/>
        <v>1500</v>
      </c>
      <c r="B1504" s="18"/>
      <c r="C1504" s="16" t="s">
        <v>1679</v>
      </c>
      <c r="D1504" s="19"/>
      <c r="E1504" s="19"/>
      <c r="F1504" s="203" t="str">
        <f t="shared" si="44"/>
        <v/>
      </c>
    </row>
    <row r="1505" spans="1:6" ht="14.1" customHeight="1">
      <c r="A1505" s="14">
        <f t="shared" si="45"/>
        <v>1501</v>
      </c>
      <c r="B1505" s="18"/>
      <c r="C1505" s="16" t="s">
        <v>1679</v>
      </c>
      <c r="D1505" s="19"/>
      <c r="E1505" s="19"/>
      <c r="F1505" s="203" t="str">
        <f t="shared" si="44"/>
        <v/>
      </c>
    </row>
    <row r="1506" spans="1:6" ht="14.1" customHeight="1">
      <c r="A1506" s="14">
        <f t="shared" si="45"/>
        <v>1502</v>
      </c>
      <c r="B1506" s="18"/>
      <c r="C1506" s="16" t="s">
        <v>1679</v>
      </c>
      <c r="D1506" s="19"/>
      <c r="E1506" s="19"/>
      <c r="F1506" s="203" t="str">
        <f t="shared" si="44"/>
        <v/>
      </c>
    </row>
    <row r="1507" spans="1:6" ht="14.1" customHeight="1">
      <c r="A1507" s="14">
        <f t="shared" si="45"/>
        <v>1503</v>
      </c>
      <c r="B1507" s="18"/>
      <c r="C1507" s="16" t="s">
        <v>1679</v>
      </c>
      <c r="D1507" s="19"/>
      <c r="E1507" s="19"/>
      <c r="F1507" s="203" t="str">
        <f t="shared" si="44"/>
        <v/>
      </c>
    </row>
    <row r="1508" spans="1:6" ht="14.1" customHeight="1">
      <c r="A1508" s="14">
        <f t="shared" si="45"/>
        <v>1504</v>
      </c>
      <c r="B1508" s="18"/>
      <c r="C1508" s="16" t="s">
        <v>1679</v>
      </c>
      <c r="D1508" s="19"/>
      <c r="E1508" s="19"/>
      <c r="F1508" s="203" t="str">
        <f t="shared" si="44"/>
        <v/>
      </c>
    </row>
    <row r="1509" spans="1:6" ht="14.1" customHeight="1">
      <c r="A1509" s="14">
        <f t="shared" si="45"/>
        <v>1505</v>
      </c>
      <c r="B1509" s="18"/>
      <c r="C1509" s="16" t="s">
        <v>1679</v>
      </c>
      <c r="D1509" s="19"/>
      <c r="E1509" s="19"/>
      <c r="F1509" s="203" t="str">
        <f t="shared" si="44"/>
        <v/>
      </c>
    </row>
    <row r="1510" spans="1:6" ht="14.1" customHeight="1">
      <c r="A1510" s="14">
        <f t="shared" si="45"/>
        <v>1506</v>
      </c>
      <c r="B1510" s="18"/>
      <c r="C1510" s="16" t="s">
        <v>1679</v>
      </c>
      <c r="D1510" s="19"/>
      <c r="E1510" s="19"/>
      <c r="F1510" s="203" t="str">
        <f t="shared" si="44"/>
        <v/>
      </c>
    </row>
    <row r="1511" spans="1:6" ht="14.1" customHeight="1">
      <c r="A1511" s="14">
        <f t="shared" si="45"/>
        <v>1507</v>
      </c>
      <c r="B1511" s="18"/>
      <c r="C1511" s="16" t="s">
        <v>1679</v>
      </c>
      <c r="D1511" s="19"/>
      <c r="E1511" s="19"/>
      <c r="F1511" s="203" t="str">
        <f t="shared" si="44"/>
        <v/>
      </c>
    </row>
    <row r="1512" spans="1:6" ht="14.1" customHeight="1">
      <c r="A1512" s="14">
        <f t="shared" si="45"/>
        <v>1508</v>
      </c>
      <c r="B1512" s="18"/>
      <c r="C1512" s="16" t="s">
        <v>1679</v>
      </c>
      <c r="D1512" s="19"/>
      <c r="E1512" s="19"/>
      <c r="F1512" s="203" t="str">
        <f t="shared" si="44"/>
        <v/>
      </c>
    </row>
    <row r="1513" spans="1:6" ht="14.1" customHeight="1">
      <c r="A1513" s="14">
        <f t="shared" si="45"/>
        <v>1509</v>
      </c>
      <c r="B1513" s="18"/>
      <c r="C1513" s="16" t="s">
        <v>1679</v>
      </c>
      <c r="D1513" s="19"/>
      <c r="E1513" s="19"/>
      <c r="F1513" s="203" t="str">
        <f t="shared" si="44"/>
        <v/>
      </c>
    </row>
    <row r="1514" spans="1:6" ht="14.1" customHeight="1">
      <c r="A1514" s="14">
        <f t="shared" si="45"/>
        <v>1510</v>
      </c>
      <c r="B1514" s="18"/>
      <c r="C1514" s="16" t="s">
        <v>1679</v>
      </c>
      <c r="D1514" s="19"/>
      <c r="E1514" s="19"/>
      <c r="F1514" s="203" t="str">
        <f t="shared" ref="F1514:F1577" si="46">IF(AND(B1515&lt;&gt;"",B1514=""),"Don't skip lines",IF(AND(D1514="",B1514&lt;&gt;""),"Enter U-value",IF(AND(D1514&lt;&gt;"",B1514=""),"Enter Description","")))</f>
        <v/>
      </c>
    </row>
    <row r="1515" spans="1:6" ht="14.1" customHeight="1">
      <c r="A1515" s="14">
        <f t="shared" si="45"/>
        <v>1511</v>
      </c>
      <c r="B1515" s="18"/>
      <c r="C1515" s="16" t="s">
        <v>1679</v>
      </c>
      <c r="D1515" s="19"/>
      <c r="E1515" s="19"/>
      <c r="F1515" s="203" t="str">
        <f t="shared" si="46"/>
        <v/>
      </c>
    </row>
    <row r="1516" spans="1:6" ht="14.1" customHeight="1">
      <c r="A1516" s="14">
        <f t="shared" si="45"/>
        <v>1512</v>
      </c>
      <c r="B1516" s="18"/>
      <c r="C1516" s="16" t="s">
        <v>1679</v>
      </c>
      <c r="D1516" s="19"/>
      <c r="E1516" s="19"/>
      <c r="F1516" s="203" t="str">
        <f t="shared" si="46"/>
        <v/>
      </c>
    </row>
    <row r="1517" spans="1:6" ht="14.1" customHeight="1">
      <c r="A1517" s="14">
        <f t="shared" si="45"/>
        <v>1513</v>
      </c>
      <c r="B1517" s="18"/>
      <c r="C1517" s="16" t="s">
        <v>1679</v>
      </c>
      <c r="D1517" s="19"/>
      <c r="E1517" s="19"/>
      <c r="F1517" s="203" t="str">
        <f t="shared" si="46"/>
        <v/>
      </c>
    </row>
    <row r="1518" spans="1:6" ht="14.1" customHeight="1">
      <c r="A1518" s="14">
        <f t="shared" si="45"/>
        <v>1514</v>
      </c>
      <c r="B1518" s="18"/>
      <c r="C1518" s="16" t="s">
        <v>1679</v>
      </c>
      <c r="D1518" s="19"/>
      <c r="E1518" s="19"/>
      <c r="F1518" s="203" t="str">
        <f t="shared" si="46"/>
        <v/>
      </c>
    </row>
    <row r="1519" spans="1:6" ht="14.1" customHeight="1">
      <c r="A1519" s="14">
        <f t="shared" si="45"/>
        <v>1515</v>
      </c>
      <c r="B1519" s="18"/>
      <c r="C1519" s="16" t="s">
        <v>1679</v>
      </c>
      <c r="D1519" s="19"/>
      <c r="E1519" s="19"/>
      <c r="F1519" s="203" t="str">
        <f t="shared" si="46"/>
        <v/>
      </c>
    </row>
    <row r="1520" spans="1:6" ht="14.1" customHeight="1">
      <c r="A1520" s="14">
        <f t="shared" si="45"/>
        <v>1516</v>
      </c>
      <c r="B1520" s="18"/>
      <c r="C1520" s="16" t="s">
        <v>1679</v>
      </c>
      <c r="D1520" s="19"/>
      <c r="E1520" s="19"/>
      <c r="F1520" s="203" t="str">
        <f t="shared" si="46"/>
        <v/>
      </c>
    </row>
    <row r="1521" spans="1:6" ht="14.1" customHeight="1">
      <c r="A1521" s="14">
        <f t="shared" si="45"/>
        <v>1517</v>
      </c>
      <c r="B1521" s="18"/>
      <c r="C1521" s="16" t="s">
        <v>1679</v>
      </c>
      <c r="D1521" s="19"/>
      <c r="E1521" s="19"/>
      <c r="F1521" s="203" t="str">
        <f t="shared" si="46"/>
        <v/>
      </c>
    </row>
    <row r="1522" spans="1:6" ht="14.1" customHeight="1">
      <c r="A1522" s="14">
        <f t="shared" si="45"/>
        <v>1518</v>
      </c>
      <c r="B1522" s="18"/>
      <c r="C1522" s="16" t="s">
        <v>1679</v>
      </c>
      <c r="D1522" s="19"/>
      <c r="E1522" s="19"/>
      <c r="F1522" s="203" t="str">
        <f t="shared" si="46"/>
        <v/>
      </c>
    </row>
    <row r="1523" spans="1:6" ht="14.1" customHeight="1">
      <c r="A1523" s="14">
        <f t="shared" si="45"/>
        <v>1519</v>
      </c>
      <c r="B1523" s="18"/>
      <c r="C1523" s="16" t="s">
        <v>1679</v>
      </c>
      <c r="D1523" s="19"/>
      <c r="E1523" s="19"/>
      <c r="F1523" s="203" t="str">
        <f t="shared" si="46"/>
        <v/>
      </c>
    </row>
    <row r="1524" spans="1:6" ht="14.1" customHeight="1">
      <c r="A1524" s="14">
        <f t="shared" si="45"/>
        <v>1520</v>
      </c>
      <c r="B1524" s="18"/>
      <c r="C1524" s="16" t="s">
        <v>1679</v>
      </c>
      <c r="D1524" s="19"/>
      <c r="E1524" s="19"/>
      <c r="F1524" s="203" t="str">
        <f t="shared" si="46"/>
        <v/>
      </c>
    </row>
    <row r="1525" spans="1:6" ht="14.1" customHeight="1">
      <c r="A1525" s="14">
        <f t="shared" si="45"/>
        <v>1521</v>
      </c>
      <c r="B1525" s="18"/>
      <c r="C1525" s="16" t="s">
        <v>1679</v>
      </c>
      <c r="D1525" s="19"/>
      <c r="E1525" s="19"/>
      <c r="F1525" s="203" t="str">
        <f t="shared" si="46"/>
        <v/>
      </c>
    </row>
    <row r="1526" spans="1:6" ht="14.1" customHeight="1">
      <c r="A1526" s="14">
        <f t="shared" si="45"/>
        <v>1522</v>
      </c>
      <c r="B1526" s="18"/>
      <c r="C1526" s="16" t="s">
        <v>1679</v>
      </c>
      <c r="D1526" s="19"/>
      <c r="E1526" s="19"/>
      <c r="F1526" s="203" t="str">
        <f t="shared" si="46"/>
        <v/>
      </c>
    </row>
    <row r="1527" spans="1:6" ht="14.1" customHeight="1">
      <c r="A1527" s="14">
        <f t="shared" si="45"/>
        <v>1523</v>
      </c>
      <c r="B1527" s="18"/>
      <c r="C1527" s="16" t="s">
        <v>1679</v>
      </c>
      <c r="D1527" s="19"/>
      <c r="E1527" s="19"/>
      <c r="F1527" s="203" t="str">
        <f t="shared" si="46"/>
        <v/>
      </c>
    </row>
    <row r="1528" spans="1:6" ht="14.1" customHeight="1">
      <c r="A1528" s="14">
        <f t="shared" si="45"/>
        <v>1524</v>
      </c>
      <c r="B1528" s="18"/>
      <c r="C1528" s="16" t="s">
        <v>1679</v>
      </c>
      <c r="D1528" s="19"/>
      <c r="E1528" s="19"/>
      <c r="F1528" s="203" t="str">
        <f t="shared" si="46"/>
        <v/>
      </c>
    </row>
    <row r="1529" spans="1:6" ht="14.1" customHeight="1">
      <c r="A1529" s="14">
        <f t="shared" si="45"/>
        <v>1525</v>
      </c>
      <c r="B1529" s="18"/>
      <c r="C1529" s="16" t="s">
        <v>1679</v>
      </c>
      <c r="D1529" s="19"/>
      <c r="E1529" s="19"/>
      <c r="F1529" s="203" t="str">
        <f t="shared" si="46"/>
        <v/>
      </c>
    </row>
    <row r="1530" spans="1:6" ht="14.1" customHeight="1">
      <c r="A1530" s="14">
        <f t="shared" si="45"/>
        <v>1526</v>
      </c>
      <c r="B1530" s="18"/>
      <c r="C1530" s="16" t="s">
        <v>1679</v>
      </c>
      <c r="D1530" s="19"/>
      <c r="E1530" s="19"/>
      <c r="F1530" s="203" t="str">
        <f t="shared" si="46"/>
        <v/>
      </c>
    </row>
    <row r="1531" spans="1:6" ht="14.1" customHeight="1">
      <c r="A1531" s="14">
        <f t="shared" si="45"/>
        <v>1527</v>
      </c>
      <c r="B1531" s="18"/>
      <c r="C1531" s="16" t="s">
        <v>1679</v>
      </c>
      <c r="D1531" s="19"/>
      <c r="E1531" s="19"/>
      <c r="F1531" s="203" t="str">
        <f t="shared" si="46"/>
        <v/>
      </c>
    </row>
    <row r="1532" spans="1:6" ht="14.1" customHeight="1">
      <c r="A1532" s="14">
        <f t="shared" si="45"/>
        <v>1528</v>
      </c>
      <c r="B1532" s="18"/>
      <c r="C1532" s="16" t="s">
        <v>1679</v>
      </c>
      <c r="D1532" s="19"/>
      <c r="E1532" s="19"/>
      <c r="F1532" s="203" t="str">
        <f t="shared" si="46"/>
        <v/>
      </c>
    </row>
    <row r="1533" spans="1:6" ht="14.1" customHeight="1">
      <c r="A1533" s="14">
        <f t="shared" si="45"/>
        <v>1529</v>
      </c>
      <c r="B1533" s="18"/>
      <c r="C1533" s="16" t="s">
        <v>1679</v>
      </c>
      <c r="D1533" s="19"/>
      <c r="E1533" s="19"/>
      <c r="F1533" s="203" t="str">
        <f t="shared" si="46"/>
        <v/>
      </c>
    </row>
    <row r="1534" spans="1:6" ht="14.1" customHeight="1">
      <c r="A1534" s="14">
        <f t="shared" si="45"/>
        <v>1530</v>
      </c>
      <c r="B1534" s="18"/>
      <c r="C1534" s="16" t="s">
        <v>1679</v>
      </c>
      <c r="D1534" s="19"/>
      <c r="E1534" s="19"/>
      <c r="F1534" s="203" t="str">
        <f t="shared" si="46"/>
        <v/>
      </c>
    </row>
    <row r="1535" spans="1:6" ht="14.1" customHeight="1">
      <c r="A1535" s="14">
        <f t="shared" si="45"/>
        <v>1531</v>
      </c>
      <c r="B1535" s="18"/>
      <c r="C1535" s="16" t="s">
        <v>1679</v>
      </c>
      <c r="D1535" s="19"/>
      <c r="E1535" s="19"/>
      <c r="F1535" s="203" t="str">
        <f t="shared" si="46"/>
        <v/>
      </c>
    </row>
    <row r="1536" spans="1:6" ht="14.1" customHeight="1">
      <c r="A1536" s="14">
        <f t="shared" si="45"/>
        <v>1532</v>
      </c>
      <c r="B1536" s="18"/>
      <c r="C1536" s="16" t="s">
        <v>1679</v>
      </c>
      <c r="D1536" s="19"/>
      <c r="E1536" s="19"/>
      <c r="F1536" s="203" t="str">
        <f t="shared" si="46"/>
        <v/>
      </c>
    </row>
    <row r="1537" spans="1:6" ht="14.1" customHeight="1">
      <c r="A1537" s="14">
        <f t="shared" si="45"/>
        <v>1533</v>
      </c>
      <c r="B1537" s="18"/>
      <c r="C1537" s="16" t="s">
        <v>1679</v>
      </c>
      <c r="D1537" s="19"/>
      <c r="E1537" s="19"/>
      <c r="F1537" s="203" t="str">
        <f t="shared" si="46"/>
        <v/>
      </c>
    </row>
    <row r="1538" spans="1:6" ht="14.1" customHeight="1">
      <c r="A1538" s="14">
        <f t="shared" si="45"/>
        <v>1534</v>
      </c>
      <c r="B1538" s="18"/>
      <c r="C1538" s="16" t="s">
        <v>1679</v>
      </c>
      <c r="D1538" s="19"/>
      <c r="E1538" s="19"/>
      <c r="F1538" s="203" t="str">
        <f t="shared" si="46"/>
        <v/>
      </c>
    </row>
    <row r="1539" spans="1:6" ht="14.1" customHeight="1">
      <c r="A1539" s="14">
        <f t="shared" ref="A1539:A1602" si="47">A1538+1</f>
        <v>1535</v>
      </c>
      <c r="B1539" s="18"/>
      <c r="C1539" s="16" t="s">
        <v>1679</v>
      </c>
      <c r="D1539" s="19"/>
      <c r="E1539" s="19"/>
      <c r="F1539" s="203" t="str">
        <f t="shared" si="46"/>
        <v/>
      </c>
    </row>
    <row r="1540" spans="1:6" ht="14.1" customHeight="1">
      <c r="A1540" s="14">
        <f t="shared" si="47"/>
        <v>1536</v>
      </c>
      <c r="B1540" s="18"/>
      <c r="C1540" s="16" t="s">
        <v>1679</v>
      </c>
      <c r="D1540" s="19"/>
      <c r="E1540" s="19"/>
      <c r="F1540" s="203" t="str">
        <f t="shared" si="46"/>
        <v/>
      </c>
    </row>
    <row r="1541" spans="1:6" ht="14.1" customHeight="1">
      <c r="A1541" s="14">
        <f t="shared" si="47"/>
        <v>1537</v>
      </c>
      <c r="B1541" s="18"/>
      <c r="C1541" s="16" t="s">
        <v>1679</v>
      </c>
      <c r="D1541" s="19"/>
      <c r="E1541" s="19"/>
      <c r="F1541" s="203" t="str">
        <f t="shared" si="46"/>
        <v/>
      </c>
    </row>
    <row r="1542" spans="1:6" ht="14.1" customHeight="1">
      <c r="A1542" s="14">
        <f t="shared" si="47"/>
        <v>1538</v>
      </c>
      <c r="B1542" s="18"/>
      <c r="C1542" s="16" t="s">
        <v>1679</v>
      </c>
      <c r="D1542" s="19"/>
      <c r="E1542" s="19"/>
      <c r="F1542" s="203" t="str">
        <f t="shared" si="46"/>
        <v/>
      </c>
    </row>
    <row r="1543" spans="1:6" ht="14.1" customHeight="1">
      <c r="A1543" s="14">
        <f t="shared" si="47"/>
        <v>1539</v>
      </c>
      <c r="B1543" s="18"/>
      <c r="C1543" s="16" t="s">
        <v>1679</v>
      </c>
      <c r="D1543" s="19"/>
      <c r="E1543" s="19"/>
      <c r="F1543" s="203" t="str">
        <f t="shared" si="46"/>
        <v/>
      </c>
    </row>
    <row r="1544" spans="1:6" ht="14.1" customHeight="1">
      <c r="A1544" s="14">
        <f t="shared" si="47"/>
        <v>1540</v>
      </c>
      <c r="B1544" s="18"/>
      <c r="C1544" s="16" t="s">
        <v>1679</v>
      </c>
      <c r="D1544" s="19"/>
      <c r="E1544" s="19"/>
      <c r="F1544" s="203" t="str">
        <f t="shared" si="46"/>
        <v/>
      </c>
    </row>
    <row r="1545" spans="1:6" ht="14.1" customHeight="1">
      <c r="A1545" s="14">
        <f t="shared" si="47"/>
        <v>1541</v>
      </c>
      <c r="B1545" s="18"/>
      <c r="C1545" s="16" t="s">
        <v>1679</v>
      </c>
      <c r="D1545" s="19"/>
      <c r="E1545" s="19"/>
      <c r="F1545" s="203" t="str">
        <f t="shared" si="46"/>
        <v/>
      </c>
    </row>
    <row r="1546" spans="1:6" ht="14.1" customHeight="1">
      <c r="A1546" s="14">
        <f t="shared" si="47"/>
        <v>1542</v>
      </c>
      <c r="B1546" s="18"/>
      <c r="C1546" s="16" t="s">
        <v>1679</v>
      </c>
      <c r="D1546" s="19"/>
      <c r="E1546" s="19"/>
      <c r="F1546" s="203" t="str">
        <f t="shared" si="46"/>
        <v/>
      </c>
    </row>
    <row r="1547" spans="1:6" ht="14.1" customHeight="1">
      <c r="A1547" s="14">
        <f t="shared" si="47"/>
        <v>1543</v>
      </c>
      <c r="B1547" s="18"/>
      <c r="C1547" s="16" t="s">
        <v>1679</v>
      </c>
      <c r="D1547" s="19"/>
      <c r="E1547" s="19"/>
      <c r="F1547" s="203" t="str">
        <f t="shared" si="46"/>
        <v/>
      </c>
    </row>
    <row r="1548" spans="1:6" ht="14.1" customHeight="1">
      <c r="A1548" s="14">
        <f t="shared" si="47"/>
        <v>1544</v>
      </c>
      <c r="B1548" s="18"/>
      <c r="C1548" s="16" t="s">
        <v>1679</v>
      </c>
      <c r="D1548" s="19"/>
      <c r="E1548" s="19"/>
      <c r="F1548" s="203" t="str">
        <f t="shared" si="46"/>
        <v/>
      </c>
    </row>
    <row r="1549" spans="1:6" ht="14.1" customHeight="1">
      <c r="A1549" s="14">
        <f t="shared" si="47"/>
        <v>1545</v>
      </c>
      <c r="B1549" s="18"/>
      <c r="C1549" s="16" t="s">
        <v>1679</v>
      </c>
      <c r="D1549" s="19"/>
      <c r="E1549" s="19"/>
      <c r="F1549" s="203" t="str">
        <f t="shared" si="46"/>
        <v/>
      </c>
    </row>
    <row r="1550" spans="1:6" ht="14.1" customHeight="1">
      <c r="A1550" s="14">
        <f t="shared" si="47"/>
        <v>1546</v>
      </c>
      <c r="B1550" s="18"/>
      <c r="C1550" s="16" t="s">
        <v>1679</v>
      </c>
      <c r="D1550" s="19"/>
      <c r="E1550" s="19"/>
      <c r="F1550" s="203" t="str">
        <f t="shared" si="46"/>
        <v/>
      </c>
    </row>
    <row r="1551" spans="1:6" ht="14.1" customHeight="1">
      <c r="A1551" s="14">
        <f t="shared" si="47"/>
        <v>1547</v>
      </c>
      <c r="B1551" s="18"/>
      <c r="C1551" s="16" t="s">
        <v>1679</v>
      </c>
      <c r="D1551" s="19"/>
      <c r="E1551" s="19"/>
      <c r="F1551" s="203" t="str">
        <f t="shared" si="46"/>
        <v/>
      </c>
    </row>
    <row r="1552" spans="1:6" ht="14.1" customHeight="1">
      <c r="A1552" s="14">
        <f t="shared" si="47"/>
        <v>1548</v>
      </c>
      <c r="B1552" s="18"/>
      <c r="C1552" s="16" t="s">
        <v>1679</v>
      </c>
      <c r="D1552" s="19"/>
      <c r="E1552" s="19"/>
      <c r="F1552" s="203" t="str">
        <f t="shared" si="46"/>
        <v/>
      </c>
    </row>
    <row r="1553" spans="1:6" ht="14.1" customHeight="1">
      <c r="A1553" s="14">
        <f t="shared" si="47"/>
        <v>1549</v>
      </c>
      <c r="B1553" s="18"/>
      <c r="C1553" s="16" t="s">
        <v>1679</v>
      </c>
      <c r="D1553" s="19"/>
      <c r="E1553" s="19"/>
      <c r="F1553" s="203" t="str">
        <f t="shared" si="46"/>
        <v/>
      </c>
    </row>
    <row r="1554" spans="1:6" ht="14.1" customHeight="1">
      <c r="A1554" s="14">
        <f t="shared" si="47"/>
        <v>1550</v>
      </c>
      <c r="B1554" s="18"/>
      <c r="C1554" s="16" t="s">
        <v>1679</v>
      </c>
      <c r="D1554" s="19"/>
      <c r="E1554" s="19"/>
      <c r="F1554" s="203" t="str">
        <f t="shared" si="46"/>
        <v/>
      </c>
    </row>
    <row r="1555" spans="1:6" ht="14.1" customHeight="1">
      <c r="A1555" s="14">
        <f t="shared" si="47"/>
        <v>1551</v>
      </c>
      <c r="B1555" s="18"/>
      <c r="C1555" s="16" t="s">
        <v>1679</v>
      </c>
      <c r="D1555" s="19"/>
      <c r="E1555" s="19"/>
      <c r="F1555" s="203" t="str">
        <f t="shared" si="46"/>
        <v/>
      </c>
    </row>
    <row r="1556" spans="1:6" ht="14.1" customHeight="1">
      <c r="A1556" s="14">
        <f t="shared" si="47"/>
        <v>1552</v>
      </c>
      <c r="B1556" s="18"/>
      <c r="C1556" s="16" t="s">
        <v>1679</v>
      </c>
      <c r="D1556" s="19"/>
      <c r="E1556" s="19"/>
      <c r="F1556" s="203" t="str">
        <f t="shared" si="46"/>
        <v/>
      </c>
    </row>
    <row r="1557" spans="1:6" ht="14.1" customHeight="1">
      <c r="A1557" s="14">
        <f t="shared" si="47"/>
        <v>1553</v>
      </c>
      <c r="B1557" s="18"/>
      <c r="C1557" s="16" t="s">
        <v>1679</v>
      </c>
      <c r="D1557" s="19"/>
      <c r="E1557" s="19"/>
      <c r="F1557" s="203" t="str">
        <f t="shared" si="46"/>
        <v/>
      </c>
    </row>
    <row r="1558" spans="1:6" ht="14.1" customHeight="1">
      <c r="A1558" s="14">
        <f t="shared" si="47"/>
        <v>1554</v>
      </c>
      <c r="B1558" s="18"/>
      <c r="C1558" s="16" t="s">
        <v>1679</v>
      </c>
      <c r="D1558" s="19"/>
      <c r="E1558" s="19"/>
      <c r="F1558" s="203" t="str">
        <f t="shared" si="46"/>
        <v/>
      </c>
    </row>
    <row r="1559" spans="1:6" ht="14.1" customHeight="1">
      <c r="A1559" s="14">
        <f t="shared" si="47"/>
        <v>1555</v>
      </c>
      <c r="B1559" s="18"/>
      <c r="C1559" s="16" t="s">
        <v>1679</v>
      </c>
      <c r="D1559" s="19"/>
      <c r="E1559" s="19"/>
      <c r="F1559" s="203" t="str">
        <f t="shared" si="46"/>
        <v/>
      </c>
    </row>
    <row r="1560" spans="1:6" ht="14.1" customHeight="1">
      <c r="A1560" s="14">
        <f t="shared" si="47"/>
        <v>1556</v>
      </c>
      <c r="B1560" s="18"/>
      <c r="C1560" s="16" t="s">
        <v>1679</v>
      </c>
      <c r="D1560" s="19"/>
      <c r="E1560" s="19"/>
      <c r="F1560" s="203" t="str">
        <f t="shared" si="46"/>
        <v/>
      </c>
    </row>
    <row r="1561" spans="1:6" ht="14.1" customHeight="1">
      <c r="A1561" s="14">
        <f t="shared" si="47"/>
        <v>1557</v>
      </c>
      <c r="B1561" s="18"/>
      <c r="C1561" s="16" t="s">
        <v>1679</v>
      </c>
      <c r="D1561" s="19"/>
      <c r="E1561" s="19"/>
      <c r="F1561" s="203" t="str">
        <f t="shared" si="46"/>
        <v/>
      </c>
    </row>
    <row r="1562" spans="1:6" ht="14.1" customHeight="1">
      <c r="A1562" s="14">
        <f t="shared" si="47"/>
        <v>1558</v>
      </c>
      <c r="B1562" s="18"/>
      <c r="C1562" s="16" t="s">
        <v>1679</v>
      </c>
      <c r="D1562" s="19"/>
      <c r="E1562" s="19"/>
      <c r="F1562" s="203" t="str">
        <f t="shared" si="46"/>
        <v/>
      </c>
    </row>
    <row r="1563" spans="1:6" ht="14.1" customHeight="1">
      <c r="A1563" s="14">
        <f t="shared" si="47"/>
        <v>1559</v>
      </c>
      <c r="B1563" s="18"/>
      <c r="C1563" s="16" t="s">
        <v>1679</v>
      </c>
      <c r="D1563" s="19"/>
      <c r="E1563" s="19"/>
      <c r="F1563" s="203" t="str">
        <f t="shared" si="46"/>
        <v/>
      </c>
    </row>
    <row r="1564" spans="1:6" ht="14.1" customHeight="1">
      <c r="A1564" s="14">
        <f t="shared" si="47"/>
        <v>1560</v>
      </c>
      <c r="B1564" s="18"/>
      <c r="C1564" s="16" t="s">
        <v>1679</v>
      </c>
      <c r="D1564" s="19"/>
      <c r="E1564" s="19"/>
      <c r="F1564" s="203" t="str">
        <f t="shared" si="46"/>
        <v/>
      </c>
    </row>
    <row r="1565" spans="1:6" ht="14.1" customHeight="1">
      <c r="A1565" s="14">
        <f t="shared" si="47"/>
        <v>1561</v>
      </c>
      <c r="B1565" s="18"/>
      <c r="C1565" s="16" t="s">
        <v>1679</v>
      </c>
      <c r="D1565" s="19"/>
      <c r="E1565" s="19"/>
      <c r="F1565" s="203" t="str">
        <f t="shared" si="46"/>
        <v/>
      </c>
    </row>
    <row r="1566" spans="1:6" ht="14.1" customHeight="1">
      <c r="A1566" s="14">
        <f t="shared" si="47"/>
        <v>1562</v>
      </c>
      <c r="B1566" s="18"/>
      <c r="C1566" s="16" t="s">
        <v>1679</v>
      </c>
      <c r="D1566" s="19"/>
      <c r="E1566" s="19"/>
      <c r="F1566" s="203" t="str">
        <f t="shared" si="46"/>
        <v/>
      </c>
    </row>
    <row r="1567" spans="1:6" ht="14.1" customHeight="1">
      <c r="A1567" s="14">
        <f t="shared" si="47"/>
        <v>1563</v>
      </c>
      <c r="B1567" s="18"/>
      <c r="C1567" s="16" t="s">
        <v>1679</v>
      </c>
      <c r="D1567" s="19"/>
      <c r="E1567" s="19"/>
      <c r="F1567" s="203" t="str">
        <f t="shared" si="46"/>
        <v/>
      </c>
    </row>
    <row r="1568" spans="1:6" ht="14.1" customHeight="1">
      <c r="A1568" s="14">
        <f t="shared" si="47"/>
        <v>1564</v>
      </c>
      <c r="B1568" s="18"/>
      <c r="C1568" s="16" t="s">
        <v>1679</v>
      </c>
      <c r="D1568" s="19"/>
      <c r="E1568" s="19"/>
      <c r="F1568" s="203" t="str">
        <f t="shared" si="46"/>
        <v/>
      </c>
    </row>
    <row r="1569" spans="1:6" ht="14.1" customHeight="1">
      <c r="A1569" s="14">
        <f t="shared" si="47"/>
        <v>1565</v>
      </c>
      <c r="B1569" s="18"/>
      <c r="C1569" s="16" t="s">
        <v>1679</v>
      </c>
      <c r="D1569" s="19"/>
      <c r="E1569" s="19"/>
      <c r="F1569" s="203" t="str">
        <f t="shared" si="46"/>
        <v/>
      </c>
    </row>
    <row r="1570" spans="1:6" ht="14.1" customHeight="1">
      <c r="A1570" s="14">
        <f t="shared" si="47"/>
        <v>1566</v>
      </c>
      <c r="B1570" s="18"/>
      <c r="C1570" s="16" t="s">
        <v>1679</v>
      </c>
      <c r="D1570" s="19"/>
      <c r="E1570" s="19"/>
      <c r="F1570" s="203" t="str">
        <f t="shared" si="46"/>
        <v/>
      </c>
    </row>
    <row r="1571" spans="1:6" ht="14.1" customHeight="1">
      <c r="A1571" s="14">
        <f t="shared" si="47"/>
        <v>1567</v>
      </c>
      <c r="B1571" s="18"/>
      <c r="C1571" s="16" t="s">
        <v>1679</v>
      </c>
      <c r="D1571" s="19"/>
      <c r="E1571" s="19"/>
      <c r="F1571" s="203" t="str">
        <f t="shared" si="46"/>
        <v/>
      </c>
    </row>
    <row r="1572" spans="1:6" ht="14.1" customHeight="1">
      <c r="A1572" s="14">
        <f t="shared" si="47"/>
        <v>1568</v>
      </c>
      <c r="B1572" s="18"/>
      <c r="C1572" s="16" t="s">
        <v>1679</v>
      </c>
      <c r="D1572" s="19"/>
      <c r="E1572" s="19"/>
      <c r="F1572" s="203" t="str">
        <f t="shared" si="46"/>
        <v/>
      </c>
    </row>
    <row r="1573" spans="1:6" ht="14.1" customHeight="1">
      <c r="A1573" s="14">
        <f t="shared" si="47"/>
        <v>1569</v>
      </c>
      <c r="B1573" s="18"/>
      <c r="C1573" s="16" t="s">
        <v>1679</v>
      </c>
      <c r="D1573" s="19"/>
      <c r="E1573" s="19"/>
      <c r="F1573" s="203" t="str">
        <f t="shared" si="46"/>
        <v/>
      </c>
    </row>
    <row r="1574" spans="1:6" ht="14.1" customHeight="1">
      <c r="A1574" s="14">
        <f t="shared" si="47"/>
        <v>1570</v>
      </c>
      <c r="B1574" s="18"/>
      <c r="C1574" s="16" t="s">
        <v>1679</v>
      </c>
      <c r="D1574" s="19"/>
      <c r="E1574" s="19"/>
      <c r="F1574" s="203" t="str">
        <f t="shared" si="46"/>
        <v/>
      </c>
    </row>
    <row r="1575" spans="1:6" ht="14.1" customHeight="1">
      <c r="A1575" s="14">
        <f t="shared" si="47"/>
        <v>1571</v>
      </c>
      <c r="B1575" s="18"/>
      <c r="C1575" s="16" t="s">
        <v>1679</v>
      </c>
      <c r="D1575" s="19"/>
      <c r="E1575" s="19"/>
      <c r="F1575" s="203" t="str">
        <f t="shared" si="46"/>
        <v/>
      </c>
    </row>
    <row r="1576" spans="1:6" ht="14.1" customHeight="1">
      <c r="A1576" s="14">
        <f t="shared" si="47"/>
        <v>1572</v>
      </c>
      <c r="B1576" s="18"/>
      <c r="C1576" s="16" t="s">
        <v>1679</v>
      </c>
      <c r="D1576" s="19"/>
      <c r="E1576" s="19"/>
      <c r="F1576" s="203" t="str">
        <f t="shared" si="46"/>
        <v/>
      </c>
    </row>
    <row r="1577" spans="1:6" ht="14.1" customHeight="1">
      <c r="A1577" s="14">
        <f t="shared" si="47"/>
        <v>1573</v>
      </c>
      <c r="B1577" s="18"/>
      <c r="C1577" s="16" t="s">
        <v>1679</v>
      </c>
      <c r="D1577" s="19"/>
      <c r="E1577" s="19"/>
      <c r="F1577" s="203" t="str">
        <f t="shared" si="46"/>
        <v/>
      </c>
    </row>
    <row r="1578" spans="1:6" ht="14.1" customHeight="1">
      <c r="A1578" s="14">
        <f t="shared" si="47"/>
        <v>1574</v>
      </c>
      <c r="B1578" s="18"/>
      <c r="C1578" s="16" t="s">
        <v>1679</v>
      </c>
      <c r="D1578" s="19"/>
      <c r="E1578" s="19"/>
      <c r="F1578" s="203" t="str">
        <f t="shared" ref="F1578:F1641" si="48">IF(AND(B1579&lt;&gt;"",B1578=""),"Don't skip lines",IF(AND(D1578="",B1578&lt;&gt;""),"Enter U-value",IF(AND(D1578&lt;&gt;"",B1578=""),"Enter Description","")))</f>
        <v/>
      </c>
    </row>
    <row r="1579" spans="1:6" ht="14.1" customHeight="1">
      <c r="A1579" s="14">
        <f t="shared" si="47"/>
        <v>1575</v>
      </c>
      <c r="B1579" s="18"/>
      <c r="C1579" s="16" t="s">
        <v>1679</v>
      </c>
      <c r="D1579" s="19"/>
      <c r="E1579" s="19"/>
      <c r="F1579" s="203" t="str">
        <f t="shared" si="48"/>
        <v/>
      </c>
    </row>
    <row r="1580" spans="1:6" ht="14.1" customHeight="1">
      <c r="A1580" s="14">
        <f t="shared" si="47"/>
        <v>1576</v>
      </c>
      <c r="B1580" s="18"/>
      <c r="C1580" s="16" t="s">
        <v>1679</v>
      </c>
      <c r="D1580" s="19"/>
      <c r="E1580" s="19"/>
      <c r="F1580" s="203" t="str">
        <f t="shared" si="48"/>
        <v/>
      </c>
    </row>
    <row r="1581" spans="1:6" ht="14.1" customHeight="1">
      <c r="A1581" s="14">
        <f t="shared" si="47"/>
        <v>1577</v>
      </c>
      <c r="B1581" s="18"/>
      <c r="C1581" s="16" t="s">
        <v>1679</v>
      </c>
      <c r="D1581" s="19"/>
      <c r="E1581" s="19"/>
      <c r="F1581" s="203" t="str">
        <f t="shared" si="48"/>
        <v/>
      </c>
    </row>
    <row r="1582" spans="1:6" ht="14.1" customHeight="1">
      <c r="A1582" s="14">
        <f t="shared" si="47"/>
        <v>1578</v>
      </c>
      <c r="B1582" s="18"/>
      <c r="C1582" s="16" t="s">
        <v>1679</v>
      </c>
      <c r="D1582" s="19"/>
      <c r="E1582" s="19"/>
      <c r="F1582" s="203" t="str">
        <f t="shared" si="48"/>
        <v/>
      </c>
    </row>
    <row r="1583" spans="1:6" ht="14.1" customHeight="1">
      <c r="A1583" s="14">
        <f t="shared" si="47"/>
        <v>1579</v>
      </c>
      <c r="B1583" s="18"/>
      <c r="C1583" s="16" t="s">
        <v>1679</v>
      </c>
      <c r="D1583" s="19"/>
      <c r="E1583" s="19"/>
      <c r="F1583" s="203" t="str">
        <f t="shared" si="48"/>
        <v/>
      </c>
    </row>
    <row r="1584" spans="1:6" ht="14.1" customHeight="1">
      <c r="A1584" s="14">
        <f t="shared" si="47"/>
        <v>1580</v>
      </c>
      <c r="B1584" s="18"/>
      <c r="C1584" s="16" t="s">
        <v>1679</v>
      </c>
      <c r="D1584" s="19"/>
      <c r="E1584" s="19"/>
      <c r="F1584" s="203" t="str">
        <f t="shared" si="48"/>
        <v/>
      </c>
    </row>
    <row r="1585" spans="1:6" ht="14.1" customHeight="1">
      <c r="A1585" s="14">
        <f t="shared" si="47"/>
        <v>1581</v>
      </c>
      <c r="B1585" s="18"/>
      <c r="C1585" s="16" t="s">
        <v>1679</v>
      </c>
      <c r="D1585" s="19"/>
      <c r="E1585" s="19"/>
      <c r="F1585" s="203" t="str">
        <f t="shared" si="48"/>
        <v/>
      </c>
    </row>
    <row r="1586" spans="1:6" ht="14.1" customHeight="1">
      <c r="A1586" s="14">
        <f t="shared" si="47"/>
        <v>1582</v>
      </c>
      <c r="B1586" s="18"/>
      <c r="C1586" s="16" t="s">
        <v>1679</v>
      </c>
      <c r="D1586" s="19"/>
      <c r="E1586" s="19"/>
      <c r="F1586" s="203" t="str">
        <f t="shared" si="48"/>
        <v/>
      </c>
    </row>
    <row r="1587" spans="1:6" ht="14.1" customHeight="1">
      <c r="A1587" s="14">
        <f t="shared" si="47"/>
        <v>1583</v>
      </c>
      <c r="B1587" s="18"/>
      <c r="C1587" s="16" t="s">
        <v>1679</v>
      </c>
      <c r="D1587" s="19"/>
      <c r="E1587" s="19"/>
      <c r="F1587" s="203" t="str">
        <f t="shared" si="48"/>
        <v/>
      </c>
    </row>
    <row r="1588" spans="1:6" ht="14.1" customHeight="1">
      <c r="A1588" s="14">
        <f t="shared" si="47"/>
        <v>1584</v>
      </c>
      <c r="B1588" s="18"/>
      <c r="C1588" s="16" t="s">
        <v>1679</v>
      </c>
      <c r="D1588" s="19"/>
      <c r="E1588" s="19"/>
      <c r="F1588" s="203" t="str">
        <f t="shared" si="48"/>
        <v/>
      </c>
    </row>
    <row r="1589" spans="1:6" ht="14.1" customHeight="1">
      <c r="A1589" s="14">
        <f t="shared" si="47"/>
        <v>1585</v>
      </c>
      <c r="B1589" s="18"/>
      <c r="C1589" s="16" t="s">
        <v>1679</v>
      </c>
      <c r="D1589" s="19"/>
      <c r="E1589" s="19"/>
      <c r="F1589" s="203" t="str">
        <f t="shared" si="48"/>
        <v/>
      </c>
    </row>
    <row r="1590" spans="1:6" ht="14.1" customHeight="1">
      <c r="A1590" s="14">
        <f t="shared" si="47"/>
        <v>1586</v>
      </c>
      <c r="B1590" s="18"/>
      <c r="C1590" s="16" t="s">
        <v>1679</v>
      </c>
      <c r="D1590" s="19"/>
      <c r="E1590" s="19"/>
      <c r="F1590" s="203" t="str">
        <f t="shared" si="48"/>
        <v/>
      </c>
    </row>
    <row r="1591" spans="1:6" ht="14.1" customHeight="1">
      <c r="A1591" s="14">
        <f t="shared" si="47"/>
        <v>1587</v>
      </c>
      <c r="B1591" s="18"/>
      <c r="C1591" s="16" t="s">
        <v>1679</v>
      </c>
      <c r="D1591" s="19"/>
      <c r="E1591" s="19"/>
      <c r="F1591" s="203" t="str">
        <f t="shared" si="48"/>
        <v/>
      </c>
    </row>
    <row r="1592" spans="1:6" ht="14.1" customHeight="1">
      <c r="A1592" s="14">
        <f t="shared" si="47"/>
        <v>1588</v>
      </c>
      <c r="B1592" s="18"/>
      <c r="C1592" s="16" t="s">
        <v>1679</v>
      </c>
      <c r="D1592" s="19"/>
      <c r="E1592" s="19"/>
      <c r="F1592" s="203" t="str">
        <f t="shared" si="48"/>
        <v/>
      </c>
    </row>
    <row r="1593" spans="1:6" ht="14.1" customHeight="1">
      <c r="A1593" s="14">
        <f t="shared" si="47"/>
        <v>1589</v>
      </c>
      <c r="B1593" s="18"/>
      <c r="C1593" s="16" t="s">
        <v>1679</v>
      </c>
      <c r="D1593" s="19"/>
      <c r="E1593" s="19"/>
      <c r="F1593" s="203" t="str">
        <f t="shared" si="48"/>
        <v/>
      </c>
    </row>
    <row r="1594" spans="1:6" ht="14.1" customHeight="1">
      <c r="A1594" s="14">
        <f t="shared" si="47"/>
        <v>1590</v>
      </c>
      <c r="B1594" s="18"/>
      <c r="C1594" s="16" t="s">
        <v>1679</v>
      </c>
      <c r="D1594" s="19"/>
      <c r="E1594" s="19"/>
      <c r="F1594" s="203" t="str">
        <f t="shared" si="48"/>
        <v/>
      </c>
    </row>
    <row r="1595" spans="1:6" ht="14.1" customHeight="1">
      <c r="A1595" s="14">
        <f t="shared" si="47"/>
        <v>1591</v>
      </c>
      <c r="B1595" s="18"/>
      <c r="C1595" s="16" t="s">
        <v>1679</v>
      </c>
      <c r="D1595" s="19"/>
      <c r="E1595" s="19"/>
      <c r="F1595" s="203" t="str">
        <f t="shared" si="48"/>
        <v/>
      </c>
    </row>
    <row r="1596" spans="1:6" ht="14.1" customHeight="1">
      <c r="A1596" s="14">
        <f t="shared" si="47"/>
        <v>1592</v>
      </c>
      <c r="B1596" s="18"/>
      <c r="C1596" s="16" t="s">
        <v>1679</v>
      </c>
      <c r="D1596" s="19"/>
      <c r="E1596" s="19"/>
      <c r="F1596" s="203" t="str">
        <f t="shared" si="48"/>
        <v/>
      </c>
    </row>
    <row r="1597" spans="1:6" ht="14.1" customHeight="1">
      <c r="A1597" s="14">
        <f t="shared" si="47"/>
        <v>1593</v>
      </c>
      <c r="B1597" s="18"/>
      <c r="C1597" s="16" t="s">
        <v>1679</v>
      </c>
      <c r="D1597" s="19"/>
      <c r="E1597" s="19"/>
      <c r="F1597" s="203" t="str">
        <f t="shared" si="48"/>
        <v/>
      </c>
    </row>
    <row r="1598" spans="1:6" ht="14.1" customHeight="1">
      <c r="A1598" s="14">
        <f t="shared" si="47"/>
        <v>1594</v>
      </c>
      <c r="B1598" s="18"/>
      <c r="C1598" s="16" t="s">
        <v>1679</v>
      </c>
      <c r="D1598" s="19"/>
      <c r="E1598" s="19"/>
      <c r="F1598" s="203" t="str">
        <f t="shared" si="48"/>
        <v/>
      </c>
    </row>
    <row r="1599" spans="1:6" ht="14.1" customHeight="1">
      <c r="A1599" s="14">
        <f t="shared" si="47"/>
        <v>1595</v>
      </c>
      <c r="B1599" s="18"/>
      <c r="C1599" s="16" t="s">
        <v>1679</v>
      </c>
      <c r="D1599" s="19"/>
      <c r="E1599" s="19"/>
      <c r="F1599" s="203" t="str">
        <f t="shared" si="48"/>
        <v/>
      </c>
    </row>
    <row r="1600" spans="1:6" ht="14.1" customHeight="1">
      <c r="A1600" s="14">
        <f t="shared" si="47"/>
        <v>1596</v>
      </c>
      <c r="B1600" s="18"/>
      <c r="C1600" s="16" t="s">
        <v>1679</v>
      </c>
      <c r="D1600" s="19"/>
      <c r="E1600" s="19"/>
      <c r="F1600" s="203" t="str">
        <f t="shared" si="48"/>
        <v/>
      </c>
    </row>
    <row r="1601" spans="1:6" ht="14.1" customHeight="1">
      <c r="A1601" s="14">
        <f t="shared" si="47"/>
        <v>1597</v>
      </c>
      <c r="B1601" s="18"/>
      <c r="C1601" s="16" t="s">
        <v>1679</v>
      </c>
      <c r="D1601" s="19"/>
      <c r="E1601" s="19"/>
      <c r="F1601" s="203" t="str">
        <f t="shared" si="48"/>
        <v/>
      </c>
    </row>
    <row r="1602" spans="1:6" ht="14.1" customHeight="1">
      <c r="A1602" s="14">
        <f t="shared" si="47"/>
        <v>1598</v>
      </c>
      <c r="B1602" s="18"/>
      <c r="C1602" s="16" t="s">
        <v>1679</v>
      </c>
      <c r="D1602" s="19"/>
      <c r="E1602" s="19"/>
      <c r="F1602" s="203" t="str">
        <f t="shared" si="48"/>
        <v/>
      </c>
    </row>
    <row r="1603" spans="1:6" ht="14.1" customHeight="1">
      <c r="A1603" s="14">
        <f t="shared" ref="A1603:A1666" si="49">A1602+1</f>
        <v>1599</v>
      </c>
      <c r="B1603" s="18"/>
      <c r="C1603" s="16" t="s">
        <v>1679</v>
      </c>
      <c r="D1603" s="19"/>
      <c r="E1603" s="19"/>
      <c r="F1603" s="203" t="str">
        <f t="shared" si="48"/>
        <v/>
      </c>
    </row>
    <row r="1604" spans="1:6" ht="14.1" customHeight="1">
      <c r="A1604" s="14">
        <f t="shared" si="49"/>
        <v>1600</v>
      </c>
      <c r="B1604" s="18"/>
      <c r="C1604" s="16" t="s">
        <v>1679</v>
      </c>
      <c r="D1604" s="19"/>
      <c r="E1604" s="19"/>
      <c r="F1604" s="203" t="str">
        <f t="shared" si="48"/>
        <v/>
      </c>
    </row>
    <row r="1605" spans="1:6" ht="14.1" customHeight="1">
      <c r="A1605" s="14">
        <f t="shared" si="49"/>
        <v>1601</v>
      </c>
      <c r="B1605" s="18"/>
      <c r="C1605" s="16" t="s">
        <v>1679</v>
      </c>
      <c r="D1605" s="19"/>
      <c r="E1605" s="19"/>
      <c r="F1605" s="203" t="str">
        <f t="shared" si="48"/>
        <v/>
      </c>
    </row>
    <row r="1606" spans="1:6" ht="14.1" customHeight="1">
      <c r="A1606" s="14">
        <f t="shared" si="49"/>
        <v>1602</v>
      </c>
      <c r="B1606" s="18"/>
      <c r="C1606" s="16" t="s">
        <v>1679</v>
      </c>
      <c r="D1606" s="19"/>
      <c r="E1606" s="19"/>
      <c r="F1606" s="203" t="str">
        <f t="shared" si="48"/>
        <v/>
      </c>
    </row>
    <row r="1607" spans="1:6" ht="14.1" customHeight="1">
      <c r="A1607" s="14">
        <f t="shared" si="49"/>
        <v>1603</v>
      </c>
      <c r="B1607" s="18"/>
      <c r="C1607" s="16" t="s">
        <v>1679</v>
      </c>
      <c r="D1607" s="19"/>
      <c r="E1607" s="19"/>
      <c r="F1607" s="203" t="str">
        <f t="shared" si="48"/>
        <v/>
      </c>
    </row>
    <row r="1608" spans="1:6" ht="14.1" customHeight="1">
      <c r="A1608" s="14">
        <f t="shared" si="49"/>
        <v>1604</v>
      </c>
      <c r="B1608" s="18"/>
      <c r="C1608" s="16" t="s">
        <v>1679</v>
      </c>
      <c r="D1608" s="19"/>
      <c r="E1608" s="19"/>
      <c r="F1608" s="203" t="str">
        <f t="shared" si="48"/>
        <v/>
      </c>
    </row>
    <row r="1609" spans="1:6" ht="14.1" customHeight="1">
      <c r="A1609" s="14">
        <f t="shared" si="49"/>
        <v>1605</v>
      </c>
      <c r="B1609" s="18"/>
      <c r="C1609" s="16" t="s">
        <v>1679</v>
      </c>
      <c r="D1609" s="19"/>
      <c r="E1609" s="19"/>
      <c r="F1609" s="203" t="str">
        <f t="shared" si="48"/>
        <v/>
      </c>
    </row>
    <row r="1610" spans="1:6" ht="14.1" customHeight="1">
      <c r="A1610" s="14">
        <f t="shared" si="49"/>
        <v>1606</v>
      </c>
      <c r="B1610" s="18"/>
      <c r="C1610" s="16" t="s">
        <v>1679</v>
      </c>
      <c r="D1610" s="19"/>
      <c r="E1610" s="19"/>
      <c r="F1610" s="203" t="str">
        <f t="shared" si="48"/>
        <v/>
      </c>
    </row>
    <row r="1611" spans="1:6" ht="14.1" customHeight="1">
      <c r="A1611" s="14">
        <f t="shared" si="49"/>
        <v>1607</v>
      </c>
      <c r="B1611" s="18"/>
      <c r="C1611" s="16" t="s">
        <v>1679</v>
      </c>
      <c r="D1611" s="19"/>
      <c r="E1611" s="19"/>
      <c r="F1611" s="203" t="str">
        <f t="shared" si="48"/>
        <v/>
      </c>
    </row>
    <row r="1612" spans="1:6" ht="14.1" customHeight="1">
      <c r="A1612" s="14">
        <f t="shared" si="49"/>
        <v>1608</v>
      </c>
      <c r="B1612" s="18"/>
      <c r="C1612" s="16" t="s">
        <v>1679</v>
      </c>
      <c r="D1612" s="19"/>
      <c r="E1612" s="19"/>
      <c r="F1612" s="203" t="str">
        <f t="shared" si="48"/>
        <v/>
      </c>
    </row>
    <row r="1613" spans="1:6" ht="14.1" customHeight="1">
      <c r="A1613" s="14">
        <f t="shared" si="49"/>
        <v>1609</v>
      </c>
      <c r="B1613" s="18"/>
      <c r="C1613" s="16" t="s">
        <v>1679</v>
      </c>
      <c r="D1613" s="19"/>
      <c r="E1613" s="19"/>
      <c r="F1613" s="203" t="str">
        <f t="shared" si="48"/>
        <v/>
      </c>
    </row>
    <row r="1614" spans="1:6" ht="14.1" customHeight="1">
      <c r="A1614" s="14">
        <f t="shared" si="49"/>
        <v>1610</v>
      </c>
      <c r="B1614" s="18"/>
      <c r="C1614" s="16" t="s">
        <v>1679</v>
      </c>
      <c r="D1614" s="19"/>
      <c r="E1614" s="19"/>
      <c r="F1614" s="203" t="str">
        <f t="shared" si="48"/>
        <v/>
      </c>
    </row>
    <row r="1615" spans="1:6" ht="14.1" customHeight="1">
      <c r="A1615" s="14">
        <f t="shared" si="49"/>
        <v>1611</v>
      </c>
      <c r="B1615" s="18"/>
      <c r="C1615" s="16" t="s">
        <v>1679</v>
      </c>
      <c r="D1615" s="19"/>
      <c r="E1615" s="19"/>
      <c r="F1615" s="203" t="str">
        <f t="shared" si="48"/>
        <v/>
      </c>
    </row>
    <row r="1616" spans="1:6" ht="14.1" customHeight="1">
      <c r="A1616" s="14">
        <f t="shared" si="49"/>
        <v>1612</v>
      </c>
      <c r="B1616" s="18"/>
      <c r="C1616" s="16" t="s">
        <v>1679</v>
      </c>
      <c r="D1616" s="19"/>
      <c r="E1616" s="19"/>
      <c r="F1616" s="203" t="str">
        <f t="shared" si="48"/>
        <v/>
      </c>
    </row>
    <row r="1617" spans="1:6" ht="14.1" customHeight="1">
      <c r="A1617" s="14">
        <f t="shared" si="49"/>
        <v>1613</v>
      </c>
      <c r="B1617" s="18"/>
      <c r="C1617" s="16" t="s">
        <v>1679</v>
      </c>
      <c r="D1617" s="19"/>
      <c r="E1617" s="19"/>
      <c r="F1617" s="203" t="str">
        <f t="shared" si="48"/>
        <v/>
      </c>
    </row>
    <row r="1618" spans="1:6" ht="14.1" customHeight="1">
      <c r="A1618" s="14">
        <f t="shared" si="49"/>
        <v>1614</v>
      </c>
      <c r="B1618" s="18"/>
      <c r="C1618" s="16" t="s">
        <v>1679</v>
      </c>
      <c r="D1618" s="19"/>
      <c r="E1618" s="19"/>
      <c r="F1618" s="203" t="str">
        <f t="shared" si="48"/>
        <v/>
      </c>
    </row>
    <row r="1619" spans="1:6" ht="14.1" customHeight="1">
      <c r="A1619" s="14">
        <f t="shared" si="49"/>
        <v>1615</v>
      </c>
      <c r="B1619" s="18"/>
      <c r="C1619" s="16" t="s">
        <v>1679</v>
      </c>
      <c r="D1619" s="19"/>
      <c r="E1619" s="19"/>
      <c r="F1619" s="203" t="str">
        <f t="shared" si="48"/>
        <v/>
      </c>
    </row>
    <row r="1620" spans="1:6" ht="14.1" customHeight="1">
      <c r="A1620" s="14">
        <f t="shared" si="49"/>
        <v>1616</v>
      </c>
      <c r="B1620" s="18"/>
      <c r="C1620" s="16" t="s">
        <v>1679</v>
      </c>
      <c r="D1620" s="19"/>
      <c r="E1620" s="19"/>
      <c r="F1620" s="203" t="str">
        <f t="shared" si="48"/>
        <v/>
      </c>
    </row>
    <row r="1621" spans="1:6" ht="14.1" customHeight="1">
      <c r="A1621" s="14">
        <f t="shared" si="49"/>
        <v>1617</v>
      </c>
      <c r="B1621" s="18"/>
      <c r="C1621" s="16" t="s">
        <v>1679</v>
      </c>
      <c r="D1621" s="19"/>
      <c r="E1621" s="19"/>
      <c r="F1621" s="203" t="str">
        <f t="shared" si="48"/>
        <v/>
      </c>
    </row>
    <row r="1622" spans="1:6" ht="14.1" customHeight="1">
      <c r="A1622" s="14">
        <f t="shared" si="49"/>
        <v>1618</v>
      </c>
      <c r="B1622" s="18"/>
      <c r="C1622" s="16" t="s">
        <v>1679</v>
      </c>
      <c r="D1622" s="19"/>
      <c r="E1622" s="19"/>
      <c r="F1622" s="203" t="str">
        <f t="shared" si="48"/>
        <v/>
      </c>
    </row>
    <row r="1623" spans="1:6" ht="14.1" customHeight="1">
      <c r="A1623" s="14">
        <f t="shared" si="49"/>
        <v>1619</v>
      </c>
      <c r="B1623" s="18"/>
      <c r="C1623" s="16" t="s">
        <v>1679</v>
      </c>
      <c r="D1623" s="19"/>
      <c r="E1623" s="19"/>
      <c r="F1623" s="203" t="str">
        <f t="shared" si="48"/>
        <v/>
      </c>
    </row>
    <row r="1624" spans="1:6" ht="14.1" customHeight="1">
      <c r="A1624" s="14">
        <f t="shared" si="49"/>
        <v>1620</v>
      </c>
      <c r="B1624" s="18"/>
      <c r="C1624" s="16" t="s">
        <v>1679</v>
      </c>
      <c r="D1624" s="19"/>
      <c r="E1624" s="19"/>
      <c r="F1624" s="203" t="str">
        <f t="shared" si="48"/>
        <v/>
      </c>
    </row>
    <row r="1625" spans="1:6" ht="14.1" customHeight="1">
      <c r="A1625" s="14">
        <f t="shared" si="49"/>
        <v>1621</v>
      </c>
      <c r="B1625" s="18"/>
      <c r="C1625" s="16" t="s">
        <v>1679</v>
      </c>
      <c r="D1625" s="19"/>
      <c r="E1625" s="19"/>
      <c r="F1625" s="203" t="str">
        <f t="shared" si="48"/>
        <v/>
      </c>
    </row>
    <row r="1626" spans="1:6" ht="14.1" customHeight="1">
      <c r="A1626" s="14">
        <f t="shared" si="49"/>
        <v>1622</v>
      </c>
      <c r="B1626" s="18"/>
      <c r="C1626" s="16" t="s">
        <v>1679</v>
      </c>
      <c r="D1626" s="19"/>
      <c r="E1626" s="19"/>
      <c r="F1626" s="203" t="str">
        <f t="shared" si="48"/>
        <v/>
      </c>
    </row>
    <row r="1627" spans="1:6" ht="14.1" customHeight="1">
      <c r="A1627" s="14">
        <f t="shared" si="49"/>
        <v>1623</v>
      </c>
      <c r="B1627" s="18"/>
      <c r="C1627" s="16" t="s">
        <v>1679</v>
      </c>
      <c r="D1627" s="19"/>
      <c r="E1627" s="19"/>
      <c r="F1627" s="203" t="str">
        <f t="shared" si="48"/>
        <v/>
      </c>
    </row>
    <row r="1628" spans="1:6" ht="14.1" customHeight="1">
      <c r="A1628" s="14">
        <f t="shared" si="49"/>
        <v>1624</v>
      </c>
      <c r="B1628" s="18"/>
      <c r="C1628" s="16" t="s">
        <v>1679</v>
      </c>
      <c r="D1628" s="19"/>
      <c r="E1628" s="19"/>
      <c r="F1628" s="203" t="str">
        <f t="shared" si="48"/>
        <v/>
      </c>
    </row>
    <row r="1629" spans="1:6" ht="14.1" customHeight="1">
      <c r="A1629" s="14">
        <f t="shared" si="49"/>
        <v>1625</v>
      </c>
      <c r="B1629" s="18"/>
      <c r="C1629" s="16" t="s">
        <v>1679</v>
      </c>
      <c r="D1629" s="19"/>
      <c r="E1629" s="19"/>
      <c r="F1629" s="203" t="str">
        <f t="shared" si="48"/>
        <v/>
      </c>
    </row>
    <row r="1630" spans="1:6" ht="14.1" customHeight="1">
      <c r="A1630" s="14">
        <f t="shared" si="49"/>
        <v>1626</v>
      </c>
      <c r="B1630" s="18"/>
      <c r="C1630" s="16" t="s">
        <v>1679</v>
      </c>
      <c r="D1630" s="19"/>
      <c r="E1630" s="19"/>
      <c r="F1630" s="203" t="str">
        <f t="shared" si="48"/>
        <v/>
      </c>
    </row>
    <row r="1631" spans="1:6" ht="14.1" customHeight="1">
      <c r="A1631" s="14">
        <f t="shared" si="49"/>
        <v>1627</v>
      </c>
      <c r="B1631" s="18"/>
      <c r="C1631" s="16" t="s">
        <v>1679</v>
      </c>
      <c r="D1631" s="19"/>
      <c r="E1631" s="19"/>
      <c r="F1631" s="203" t="str">
        <f t="shared" si="48"/>
        <v/>
      </c>
    </row>
    <row r="1632" spans="1:6" ht="14.1" customHeight="1">
      <c r="A1632" s="14">
        <f t="shared" si="49"/>
        <v>1628</v>
      </c>
      <c r="B1632" s="18"/>
      <c r="C1632" s="16" t="s">
        <v>1679</v>
      </c>
      <c r="D1632" s="19"/>
      <c r="E1632" s="19"/>
      <c r="F1632" s="203" t="str">
        <f t="shared" si="48"/>
        <v/>
      </c>
    </row>
    <row r="1633" spans="1:6" ht="14.1" customHeight="1">
      <c r="A1633" s="14">
        <f t="shared" si="49"/>
        <v>1629</v>
      </c>
      <c r="B1633" s="18"/>
      <c r="C1633" s="16" t="s">
        <v>1679</v>
      </c>
      <c r="D1633" s="19"/>
      <c r="E1633" s="19"/>
      <c r="F1633" s="203" t="str">
        <f t="shared" si="48"/>
        <v/>
      </c>
    </row>
    <row r="1634" spans="1:6" ht="14.1" customHeight="1">
      <c r="A1634" s="14">
        <f t="shared" si="49"/>
        <v>1630</v>
      </c>
      <c r="B1634" s="18"/>
      <c r="C1634" s="16" t="s">
        <v>1679</v>
      </c>
      <c r="D1634" s="19"/>
      <c r="E1634" s="19"/>
      <c r="F1634" s="203" t="str">
        <f t="shared" si="48"/>
        <v/>
      </c>
    </row>
    <row r="1635" spans="1:6" ht="14.1" customHeight="1">
      <c r="A1635" s="14">
        <f t="shared" si="49"/>
        <v>1631</v>
      </c>
      <c r="B1635" s="18"/>
      <c r="C1635" s="16" t="s">
        <v>1679</v>
      </c>
      <c r="D1635" s="19"/>
      <c r="E1635" s="19"/>
      <c r="F1635" s="203" t="str">
        <f t="shared" si="48"/>
        <v/>
      </c>
    </row>
    <row r="1636" spans="1:6" ht="14.1" customHeight="1">
      <c r="A1636" s="14">
        <f t="shared" si="49"/>
        <v>1632</v>
      </c>
      <c r="B1636" s="18"/>
      <c r="C1636" s="16" t="s">
        <v>1679</v>
      </c>
      <c r="D1636" s="19"/>
      <c r="E1636" s="19"/>
      <c r="F1636" s="203" t="str">
        <f t="shared" si="48"/>
        <v/>
      </c>
    </row>
    <row r="1637" spans="1:6" ht="14.1" customHeight="1">
      <c r="A1637" s="14">
        <f t="shared" si="49"/>
        <v>1633</v>
      </c>
      <c r="B1637" s="18"/>
      <c r="C1637" s="16" t="s">
        <v>1679</v>
      </c>
      <c r="D1637" s="19"/>
      <c r="E1637" s="19"/>
      <c r="F1637" s="203" t="str">
        <f t="shared" si="48"/>
        <v/>
      </c>
    </row>
    <row r="1638" spans="1:6" ht="14.1" customHeight="1">
      <c r="A1638" s="14">
        <f t="shared" si="49"/>
        <v>1634</v>
      </c>
      <c r="B1638" s="18"/>
      <c r="C1638" s="16" t="s">
        <v>1679</v>
      </c>
      <c r="D1638" s="19"/>
      <c r="E1638" s="19"/>
      <c r="F1638" s="203" t="str">
        <f t="shared" si="48"/>
        <v/>
      </c>
    </row>
    <row r="1639" spans="1:6" ht="14.1" customHeight="1">
      <c r="A1639" s="14">
        <f t="shared" si="49"/>
        <v>1635</v>
      </c>
      <c r="B1639" s="18"/>
      <c r="C1639" s="16" t="s">
        <v>1679</v>
      </c>
      <c r="D1639" s="19"/>
      <c r="E1639" s="19"/>
      <c r="F1639" s="203" t="str">
        <f t="shared" si="48"/>
        <v/>
      </c>
    </row>
    <row r="1640" spans="1:6" ht="14.1" customHeight="1">
      <c r="A1640" s="14">
        <f t="shared" si="49"/>
        <v>1636</v>
      </c>
      <c r="B1640" s="18"/>
      <c r="C1640" s="16" t="s">
        <v>1679</v>
      </c>
      <c r="D1640" s="19"/>
      <c r="E1640" s="19"/>
      <c r="F1640" s="203" t="str">
        <f t="shared" si="48"/>
        <v/>
      </c>
    </row>
    <row r="1641" spans="1:6" ht="14.1" customHeight="1">
      <c r="A1641" s="14">
        <f t="shared" si="49"/>
        <v>1637</v>
      </c>
      <c r="B1641" s="18"/>
      <c r="C1641" s="16" t="s">
        <v>1679</v>
      </c>
      <c r="D1641" s="19"/>
      <c r="E1641" s="19"/>
      <c r="F1641" s="203" t="str">
        <f t="shared" si="48"/>
        <v/>
      </c>
    </row>
    <row r="1642" spans="1:6" ht="14.1" customHeight="1">
      <c r="A1642" s="14">
        <f t="shared" si="49"/>
        <v>1638</v>
      </c>
      <c r="B1642" s="18"/>
      <c r="C1642" s="16" t="s">
        <v>1679</v>
      </c>
      <c r="D1642" s="19"/>
      <c r="E1642" s="19"/>
      <c r="F1642" s="203" t="str">
        <f t="shared" ref="F1642:F1705" si="50">IF(AND(B1643&lt;&gt;"",B1642=""),"Don't skip lines",IF(AND(D1642="",B1642&lt;&gt;""),"Enter U-value",IF(AND(D1642&lt;&gt;"",B1642=""),"Enter Description","")))</f>
        <v/>
      </c>
    </row>
    <row r="1643" spans="1:6" ht="14.1" customHeight="1">
      <c r="A1643" s="14">
        <f t="shared" si="49"/>
        <v>1639</v>
      </c>
      <c r="B1643" s="18"/>
      <c r="C1643" s="16" t="s">
        <v>1679</v>
      </c>
      <c r="D1643" s="19"/>
      <c r="E1643" s="19"/>
      <c r="F1643" s="203" t="str">
        <f t="shared" si="50"/>
        <v/>
      </c>
    </row>
    <row r="1644" spans="1:6" ht="14.1" customHeight="1">
      <c r="A1644" s="14">
        <f t="shared" si="49"/>
        <v>1640</v>
      </c>
      <c r="B1644" s="18"/>
      <c r="C1644" s="16" t="s">
        <v>1679</v>
      </c>
      <c r="D1644" s="19"/>
      <c r="E1644" s="19"/>
      <c r="F1644" s="203" t="str">
        <f t="shared" si="50"/>
        <v/>
      </c>
    </row>
    <row r="1645" spans="1:6" ht="14.1" customHeight="1">
      <c r="A1645" s="14">
        <f t="shared" si="49"/>
        <v>1641</v>
      </c>
      <c r="B1645" s="18"/>
      <c r="C1645" s="16" t="s">
        <v>1679</v>
      </c>
      <c r="D1645" s="19"/>
      <c r="E1645" s="19"/>
      <c r="F1645" s="203" t="str">
        <f t="shared" si="50"/>
        <v/>
      </c>
    </row>
    <row r="1646" spans="1:6" ht="14.1" customHeight="1">
      <c r="A1646" s="14">
        <f t="shared" si="49"/>
        <v>1642</v>
      </c>
      <c r="B1646" s="18"/>
      <c r="C1646" s="16" t="s">
        <v>1679</v>
      </c>
      <c r="D1646" s="19"/>
      <c r="E1646" s="19"/>
      <c r="F1646" s="203" t="str">
        <f t="shared" si="50"/>
        <v/>
      </c>
    </row>
    <row r="1647" spans="1:6" ht="14.1" customHeight="1">
      <c r="A1647" s="14">
        <f t="shared" si="49"/>
        <v>1643</v>
      </c>
      <c r="B1647" s="18"/>
      <c r="C1647" s="16" t="s">
        <v>1679</v>
      </c>
      <c r="D1647" s="19"/>
      <c r="E1647" s="19"/>
      <c r="F1647" s="203" t="str">
        <f t="shared" si="50"/>
        <v/>
      </c>
    </row>
    <row r="1648" spans="1:6" ht="14.1" customHeight="1">
      <c r="A1648" s="14">
        <f t="shared" si="49"/>
        <v>1644</v>
      </c>
      <c r="B1648" s="18"/>
      <c r="C1648" s="16" t="s">
        <v>1679</v>
      </c>
      <c r="D1648" s="19"/>
      <c r="E1648" s="19"/>
      <c r="F1648" s="203" t="str">
        <f t="shared" si="50"/>
        <v/>
      </c>
    </row>
    <row r="1649" spans="1:6" ht="14.1" customHeight="1">
      <c r="A1649" s="14">
        <f t="shared" si="49"/>
        <v>1645</v>
      </c>
      <c r="B1649" s="18"/>
      <c r="C1649" s="16" t="s">
        <v>1679</v>
      </c>
      <c r="D1649" s="19"/>
      <c r="E1649" s="19"/>
      <c r="F1649" s="203" t="str">
        <f t="shared" si="50"/>
        <v/>
      </c>
    </row>
    <row r="1650" spans="1:6" ht="14.1" customHeight="1">
      <c r="A1650" s="14">
        <f t="shared" si="49"/>
        <v>1646</v>
      </c>
      <c r="B1650" s="18"/>
      <c r="C1650" s="16" t="s">
        <v>1679</v>
      </c>
      <c r="D1650" s="19"/>
      <c r="E1650" s="19"/>
      <c r="F1650" s="203" t="str">
        <f t="shared" si="50"/>
        <v/>
      </c>
    </row>
    <row r="1651" spans="1:6" ht="14.1" customHeight="1">
      <c r="A1651" s="14">
        <f t="shared" si="49"/>
        <v>1647</v>
      </c>
      <c r="B1651" s="18"/>
      <c r="C1651" s="16" t="s">
        <v>1679</v>
      </c>
      <c r="D1651" s="19"/>
      <c r="E1651" s="19"/>
      <c r="F1651" s="203" t="str">
        <f t="shared" si="50"/>
        <v/>
      </c>
    </row>
    <row r="1652" spans="1:6" ht="14.1" customHeight="1">
      <c r="A1652" s="14">
        <f t="shared" si="49"/>
        <v>1648</v>
      </c>
      <c r="B1652" s="18"/>
      <c r="C1652" s="16" t="s">
        <v>1679</v>
      </c>
      <c r="D1652" s="19"/>
      <c r="E1652" s="19"/>
      <c r="F1652" s="203" t="str">
        <f t="shared" si="50"/>
        <v/>
      </c>
    </row>
    <row r="1653" spans="1:6" ht="14.1" customHeight="1">
      <c r="A1653" s="14">
        <f t="shared" si="49"/>
        <v>1649</v>
      </c>
      <c r="B1653" s="18"/>
      <c r="C1653" s="16" t="s">
        <v>1679</v>
      </c>
      <c r="D1653" s="19"/>
      <c r="E1653" s="19"/>
      <c r="F1653" s="203" t="str">
        <f t="shared" si="50"/>
        <v/>
      </c>
    </row>
    <row r="1654" spans="1:6" ht="14.1" customHeight="1">
      <c r="A1654" s="14">
        <f t="shared" si="49"/>
        <v>1650</v>
      </c>
      <c r="B1654" s="18"/>
      <c r="C1654" s="16" t="s">
        <v>1679</v>
      </c>
      <c r="D1654" s="19"/>
      <c r="E1654" s="19"/>
      <c r="F1654" s="203" t="str">
        <f t="shared" si="50"/>
        <v/>
      </c>
    </row>
    <row r="1655" spans="1:6" ht="14.1" customHeight="1">
      <c r="A1655" s="14">
        <f t="shared" si="49"/>
        <v>1651</v>
      </c>
      <c r="B1655" s="18"/>
      <c r="C1655" s="16" t="s">
        <v>1679</v>
      </c>
      <c r="D1655" s="19"/>
      <c r="E1655" s="19"/>
      <c r="F1655" s="203" t="str">
        <f t="shared" si="50"/>
        <v/>
      </c>
    </row>
    <row r="1656" spans="1:6" ht="14.1" customHeight="1">
      <c r="A1656" s="14">
        <f t="shared" si="49"/>
        <v>1652</v>
      </c>
      <c r="B1656" s="18"/>
      <c r="C1656" s="16" t="s">
        <v>1679</v>
      </c>
      <c r="D1656" s="19"/>
      <c r="E1656" s="19"/>
      <c r="F1656" s="203" t="str">
        <f t="shared" si="50"/>
        <v/>
      </c>
    </row>
    <row r="1657" spans="1:6" ht="14.1" customHeight="1">
      <c r="A1657" s="14">
        <f t="shared" si="49"/>
        <v>1653</v>
      </c>
      <c r="B1657" s="18"/>
      <c r="C1657" s="16" t="s">
        <v>1679</v>
      </c>
      <c r="D1657" s="19"/>
      <c r="E1657" s="19"/>
      <c r="F1657" s="203" t="str">
        <f t="shared" si="50"/>
        <v/>
      </c>
    </row>
    <row r="1658" spans="1:6" ht="14.1" customHeight="1">
      <c r="A1658" s="14">
        <f t="shared" si="49"/>
        <v>1654</v>
      </c>
      <c r="B1658" s="18"/>
      <c r="C1658" s="16" t="s">
        <v>1679</v>
      </c>
      <c r="D1658" s="19"/>
      <c r="E1658" s="19"/>
      <c r="F1658" s="203" t="str">
        <f t="shared" si="50"/>
        <v/>
      </c>
    </row>
    <row r="1659" spans="1:6" ht="14.1" customHeight="1">
      <c r="A1659" s="14">
        <f t="shared" si="49"/>
        <v>1655</v>
      </c>
      <c r="B1659" s="18"/>
      <c r="C1659" s="16" t="s">
        <v>1679</v>
      </c>
      <c r="D1659" s="19"/>
      <c r="E1659" s="19"/>
      <c r="F1659" s="203" t="str">
        <f t="shared" si="50"/>
        <v/>
      </c>
    </row>
    <row r="1660" spans="1:6" ht="14.1" customHeight="1">
      <c r="A1660" s="14">
        <f t="shared" si="49"/>
        <v>1656</v>
      </c>
      <c r="B1660" s="18"/>
      <c r="C1660" s="16" t="s">
        <v>1679</v>
      </c>
      <c r="D1660" s="19"/>
      <c r="E1660" s="19"/>
      <c r="F1660" s="203" t="str">
        <f t="shared" si="50"/>
        <v/>
      </c>
    </row>
    <row r="1661" spans="1:6" ht="14.1" customHeight="1">
      <c r="A1661" s="14">
        <f t="shared" si="49"/>
        <v>1657</v>
      </c>
      <c r="B1661" s="18"/>
      <c r="C1661" s="16" t="s">
        <v>1679</v>
      </c>
      <c r="D1661" s="19"/>
      <c r="E1661" s="19"/>
      <c r="F1661" s="203" t="str">
        <f t="shared" si="50"/>
        <v/>
      </c>
    </row>
    <row r="1662" spans="1:6" ht="14.1" customHeight="1">
      <c r="A1662" s="14">
        <f t="shared" si="49"/>
        <v>1658</v>
      </c>
      <c r="B1662" s="18"/>
      <c r="C1662" s="16" t="s">
        <v>1679</v>
      </c>
      <c r="D1662" s="19"/>
      <c r="E1662" s="19"/>
      <c r="F1662" s="203" t="str">
        <f t="shared" si="50"/>
        <v/>
      </c>
    </row>
    <row r="1663" spans="1:6" ht="14.1" customHeight="1">
      <c r="A1663" s="14">
        <f t="shared" si="49"/>
        <v>1659</v>
      </c>
      <c r="B1663" s="18"/>
      <c r="C1663" s="16" t="s">
        <v>1679</v>
      </c>
      <c r="D1663" s="19"/>
      <c r="E1663" s="19"/>
      <c r="F1663" s="203" t="str">
        <f t="shared" si="50"/>
        <v/>
      </c>
    </row>
    <row r="1664" spans="1:6" ht="14.1" customHeight="1">
      <c r="A1664" s="14">
        <f t="shared" si="49"/>
        <v>1660</v>
      </c>
      <c r="B1664" s="18"/>
      <c r="C1664" s="16" t="s">
        <v>1679</v>
      </c>
      <c r="D1664" s="19"/>
      <c r="E1664" s="19"/>
      <c r="F1664" s="203" t="str">
        <f t="shared" si="50"/>
        <v/>
      </c>
    </row>
    <row r="1665" spans="1:6" ht="14.1" customHeight="1">
      <c r="A1665" s="14">
        <f t="shared" si="49"/>
        <v>1661</v>
      </c>
      <c r="B1665" s="18"/>
      <c r="C1665" s="16" t="s">
        <v>1679</v>
      </c>
      <c r="D1665" s="19"/>
      <c r="E1665" s="19"/>
      <c r="F1665" s="203" t="str">
        <f t="shared" si="50"/>
        <v/>
      </c>
    </row>
    <row r="1666" spans="1:6" ht="14.1" customHeight="1">
      <c r="A1666" s="14">
        <f t="shared" si="49"/>
        <v>1662</v>
      </c>
      <c r="B1666" s="18"/>
      <c r="C1666" s="16" t="s">
        <v>1679</v>
      </c>
      <c r="D1666" s="19"/>
      <c r="E1666" s="19"/>
      <c r="F1666" s="203" t="str">
        <f t="shared" si="50"/>
        <v/>
      </c>
    </row>
    <row r="1667" spans="1:6" ht="14.1" customHeight="1">
      <c r="A1667" s="14">
        <f t="shared" ref="A1667:A1730" si="51">A1666+1</f>
        <v>1663</v>
      </c>
      <c r="B1667" s="18"/>
      <c r="C1667" s="16" t="s">
        <v>1679</v>
      </c>
      <c r="D1667" s="19"/>
      <c r="E1667" s="19"/>
      <c r="F1667" s="203" t="str">
        <f t="shared" si="50"/>
        <v/>
      </c>
    </row>
    <row r="1668" spans="1:6" ht="14.1" customHeight="1">
      <c r="A1668" s="14">
        <f t="shared" si="51"/>
        <v>1664</v>
      </c>
      <c r="B1668" s="18"/>
      <c r="C1668" s="16" t="s">
        <v>1679</v>
      </c>
      <c r="D1668" s="19"/>
      <c r="E1668" s="19"/>
      <c r="F1668" s="203" t="str">
        <f t="shared" si="50"/>
        <v/>
      </c>
    </row>
    <row r="1669" spans="1:6" ht="14.1" customHeight="1">
      <c r="A1669" s="14">
        <f t="shared" si="51"/>
        <v>1665</v>
      </c>
      <c r="B1669" s="18"/>
      <c r="C1669" s="16" t="s">
        <v>1679</v>
      </c>
      <c r="D1669" s="19"/>
      <c r="E1669" s="19"/>
      <c r="F1669" s="203" t="str">
        <f t="shared" si="50"/>
        <v/>
      </c>
    </row>
    <row r="1670" spans="1:6" ht="14.1" customHeight="1">
      <c r="A1670" s="14">
        <f t="shared" si="51"/>
        <v>1666</v>
      </c>
      <c r="B1670" s="18"/>
      <c r="C1670" s="16" t="s">
        <v>1679</v>
      </c>
      <c r="D1670" s="19"/>
      <c r="E1670" s="19"/>
      <c r="F1670" s="203" t="str">
        <f t="shared" si="50"/>
        <v/>
      </c>
    </row>
    <row r="1671" spans="1:6" ht="14.1" customHeight="1">
      <c r="A1671" s="14">
        <f t="shared" si="51"/>
        <v>1667</v>
      </c>
      <c r="B1671" s="18"/>
      <c r="C1671" s="16" t="s">
        <v>1679</v>
      </c>
      <c r="D1671" s="19"/>
      <c r="E1671" s="19"/>
      <c r="F1671" s="203" t="str">
        <f t="shared" si="50"/>
        <v/>
      </c>
    </row>
    <row r="1672" spans="1:6" ht="14.1" customHeight="1">
      <c r="A1672" s="14">
        <f t="shared" si="51"/>
        <v>1668</v>
      </c>
      <c r="B1672" s="18"/>
      <c r="C1672" s="16" t="s">
        <v>1679</v>
      </c>
      <c r="D1672" s="19"/>
      <c r="E1672" s="19"/>
      <c r="F1672" s="203" t="str">
        <f t="shared" si="50"/>
        <v/>
      </c>
    </row>
    <row r="1673" spans="1:6" ht="14.1" customHeight="1">
      <c r="A1673" s="14">
        <f t="shared" si="51"/>
        <v>1669</v>
      </c>
      <c r="B1673" s="18"/>
      <c r="C1673" s="16" t="s">
        <v>1679</v>
      </c>
      <c r="D1673" s="19"/>
      <c r="E1673" s="19"/>
      <c r="F1673" s="203" t="str">
        <f t="shared" si="50"/>
        <v/>
      </c>
    </row>
    <row r="1674" spans="1:6" ht="14.1" customHeight="1">
      <c r="A1674" s="14">
        <f t="shared" si="51"/>
        <v>1670</v>
      </c>
      <c r="B1674" s="18"/>
      <c r="C1674" s="16" t="s">
        <v>1679</v>
      </c>
      <c r="D1674" s="19"/>
      <c r="E1674" s="19"/>
      <c r="F1674" s="203" t="str">
        <f t="shared" si="50"/>
        <v/>
      </c>
    </row>
    <row r="1675" spans="1:6" ht="14.1" customHeight="1">
      <c r="A1675" s="14">
        <f t="shared" si="51"/>
        <v>1671</v>
      </c>
      <c r="B1675" s="18"/>
      <c r="C1675" s="16" t="s">
        <v>1679</v>
      </c>
      <c r="D1675" s="19"/>
      <c r="E1675" s="19"/>
      <c r="F1675" s="203" t="str">
        <f t="shared" si="50"/>
        <v/>
      </c>
    </row>
    <row r="1676" spans="1:6" ht="14.1" customHeight="1">
      <c r="A1676" s="14">
        <f t="shared" si="51"/>
        <v>1672</v>
      </c>
      <c r="B1676" s="18"/>
      <c r="C1676" s="16" t="s">
        <v>1679</v>
      </c>
      <c r="D1676" s="19"/>
      <c r="E1676" s="19"/>
      <c r="F1676" s="203" t="str">
        <f t="shared" si="50"/>
        <v/>
      </c>
    </row>
    <row r="1677" spans="1:6" ht="14.1" customHeight="1">
      <c r="A1677" s="14">
        <f t="shared" si="51"/>
        <v>1673</v>
      </c>
      <c r="B1677" s="18"/>
      <c r="C1677" s="16" t="s">
        <v>1679</v>
      </c>
      <c r="D1677" s="19"/>
      <c r="E1677" s="19"/>
      <c r="F1677" s="203" t="str">
        <f t="shared" si="50"/>
        <v/>
      </c>
    </row>
    <row r="1678" spans="1:6" ht="14.1" customHeight="1">
      <c r="A1678" s="14">
        <f t="shared" si="51"/>
        <v>1674</v>
      </c>
      <c r="B1678" s="18"/>
      <c r="C1678" s="16" t="s">
        <v>1679</v>
      </c>
      <c r="D1678" s="19"/>
      <c r="E1678" s="19"/>
      <c r="F1678" s="203" t="str">
        <f t="shared" si="50"/>
        <v/>
      </c>
    </row>
    <row r="1679" spans="1:6" ht="14.1" customHeight="1">
      <c r="A1679" s="14">
        <f t="shared" si="51"/>
        <v>1675</v>
      </c>
      <c r="B1679" s="18"/>
      <c r="C1679" s="16" t="s">
        <v>1679</v>
      </c>
      <c r="D1679" s="19"/>
      <c r="E1679" s="19"/>
      <c r="F1679" s="203" t="str">
        <f t="shared" si="50"/>
        <v/>
      </c>
    </row>
    <row r="1680" spans="1:6" ht="14.1" customHeight="1">
      <c r="A1680" s="14">
        <f t="shared" si="51"/>
        <v>1676</v>
      </c>
      <c r="B1680" s="18"/>
      <c r="C1680" s="16" t="s">
        <v>1679</v>
      </c>
      <c r="D1680" s="19"/>
      <c r="E1680" s="19"/>
      <c r="F1680" s="203" t="str">
        <f t="shared" si="50"/>
        <v/>
      </c>
    </row>
    <row r="1681" spans="1:6" ht="14.1" customHeight="1">
      <c r="A1681" s="14">
        <f t="shared" si="51"/>
        <v>1677</v>
      </c>
      <c r="B1681" s="18"/>
      <c r="C1681" s="16" t="s">
        <v>1679</v>
      </c>
      <c r="D1681" s="19"/>
      <c r="E1681" s="19"/>
      <c r="F1681" s="203" t="str">
        <f t="shared" si="50"/>
        <v/>
      </c>
    </row>
    <row r="1682" spans="1:6" ht="14.1" customHeight="1">
      <c r="A1682" s="14">
        <f t="shared" si="51"/>
        <v>1678</v>
      </c>
      <c r="B1682" s="18"/>
      <c r="C1682" s="16" t="s">
        <v>1679</v>
      </c>
      <c r="D1682" s="19"/>
      <c r="E1682" s="19"/>
      <c r="F1682" s="203" t="str">
        <f t="shared" si="50"/>
        <v/>
      </c>
    </row>
    <row r="1683" spans="1:6" ht="14.1" customHeight="1">
      <c r="A1683" s="14">
        <f t="shared" si="51"/>
        <v>1679</v>
      </c>
      <c r="B1683" s="18"/>
      <c r="C1683" s="16" t="s">
        <v>1679</v>
      </c>
      <c r="D1683" s="19"/>
      <c r="E1683" s="19"/>
      <c r="F1683" s="203" t="str">
        <f t="shared" si="50"/>
        <v/>
      </c>
    </row>
    <row r="1684" spans="1:6" ht="14.1" customHeight="1">
      <c r="A1684" s="14">
        <f t="shared" si="51"/>
        <v>1680</v>
      </c>
      <c r="B1684" s="18"/>
      <c r="C1684" s="16" t="s">
        <v>1679</v>
      </c>
      <c r="D1684" s="19"/>
      <c r="E1684" s="19"/>
      <c r="F1684" s="203" t="str">
        <f t="shared" si="50"/>
        <v/>
      </c>
    </row>
    <row r="1685" spans="1:6" ht="14.1" customHeight="1">
      <c r="A1685" s="14">
        <f t="shared" si="51"/>
        <v>1681</v>
      </c>
      <c r="B1685" s="18"/>
      <c r="C1685" s="16" t="s">
        <v>1679</v>
      </c>
      <c r="D1685" s="19"/>
      <c r="E1685" s="19"/>
      <c r="F1685" s="203" t="str">
        <f t="shared" si="50"/>
        <v/>
      </c>
    </row>
    <row r="1686" spans="1:6" ht="14.1" customHeight="1">
      <c r="A1686" s="14">
        <f t="shared" si="51"/>
        <v>1682</v>
      </c>
      <c r="B1686" s="18"/>
      <c r="C1686" s="16" t="s">
        <v>1679</v>
      </c>
      <c r="D1686" s="19"/>
      <c r="E1686" s="19"/>
      <c r="F1686" s="203" t="str">
        <f t="shared" si="50"/>
        <v/>
      </c>
    </row>
    <row r="1687" spans="1:6" ht="14.1" customHeight="1">
      <c r="A1687" s="14">
        <f t="shared" si="51"/>
        <v>1683</v>
      </c>
      <c r="B1687" s="18"/>
      <c r="C1687" s="16" t="s">
        <v>1679</v>
      </c>
      <c r="D1687" s="19"/>
      <c r="E1687" s="19"/>
      <c r="F1687" s="203" t="str">
        <f t="shared" si="50"/>
        <v/>
      </c>
    </row>
    <row r="1688" spans="1:6" ht="14.1" customHeight="1">
      <c r="A1688" s="14">
        <f t="shared" si="51"/>
        <v>1684</v>
      </c>
      <c r="B1688" s="18"/>
      <c r="C1688" s="16" t="s">
        <v>1679</v>
      </c>
      <c r="D1688" s="19"/>
      <c r="E1688" s="19"/>
      <c r="F1688" s="203" t="str">
        <f t="shared" si="50"/>
        <v/>
      </c>
    </row>
    <row r="1689" spans="1:6" ht="14.1" customHeight="1">
      <c r="A1689" s="14">
        <f t="shared" si="51"/>
        <v>1685</v>
      </c>
      <c r="B1689" s="18"/>
      <c r="C1689" s="16" t="s">
        <v>1679</v>
      </c>
      <c r="D1689" s="19"/>
      <c r="E1689" s="19"/>
      <c r="F1689" s="203" t="str">
        <f t="shared" si="50"/>
        <v/>
      </c>
    </row>
    <row r="1690" spans="1:6" ht="14.1" customHeight="1">
      <c r="A1690" s="14">
        <f t="shared" si="51"/>
        <v>1686</v>
      </c>
      <c r="B1690" s="18"/>
      <c r="C1690" s="16" t="s">
        <v>1679</v>
      </c>
      <c r="D1690" s="19"/>
      <c r="E1690" s="19"/>
      <c r="F1690" s="203" t="str">
        <f t="shared" si="50"/>
        <v/>
      </c>
    </row>
    <row r="1691" spans="1:6" ht="14.1" customHeight="1">
      <c r="A1691" s="14">
        <f t="shared" si="51"/>
        <v>1687</v>
      </c>
      <c r="B1691" s="18"/>
      <c r="C1691" s="16" t="s">
        <v>1679</v>
      </c>
      <c r="D1691" s="19"/>
      <c r="E1691" s="19"/>
      <c r="F1691" s="203" t="str">
        <f t="shared" si="50"/>
        <v/>
      </c>
    </row>
    <row r="1692" spans="1:6" ht="14.1" customHeight="1">
      <c r="A1692" s="14">
        <f t="shared" si="51"/>
        <v>1688</v>
      </c>
      <c r="B1692" s="18"/>
      <c r="C1692" s="16" t="s">
        <v>1679</v>
      </c>
      <c r="D1692" s="19"/>
      <c r="E1692" s="19"/>
      <c r="F1692" s="203" t="str">
        <f t="shared" si="50"/>
        <v/>
      </c>
    </row>
    <row r="1693" spans="1:6" ht="14.1" customHeight="1">
      <c r="A1693" s="14">
        <f t="shared" si="51"/>
        <v>1689</v>
      </c>
      <c r="B1693" s="18"/>
      <c r="C1693" s="16" t="s">
        <v>1679</v>
      </c>
      <c r="D1693" s="19"/>
      <c r="E1693" s="19"/>
      <c r="F1693" s="203" t="str">
        <f t="shared" si="50"/>
        <v/>
      </c>
    </row>
    <row r="1694" spans="1:6" ht="14.1" customHeight="1">
      <c r="A1694" s="14">
        <f t="shared" si="51"/>
        <v>1690</v>
      </c>
      <c r="B1694" s="18"/>
      <c r="C1694" s="16" t="s">
        <v>1679</v>
      </c>
      <c r="D1694" s="19"/>
      <c r="E1694" s="19"/>
      <c r="F1694" s="203" t="str">
        <f t="shared" si="50"/>
        <v/>
      </c>
    </row>
    <row r="1695" spans="1:6" ht="14.1" customHeight="1">
      <c r="A1695" s="14">
        <f t="shared" si="51"/>
        <v>1691</v>
      </c>
      <c r="B1695" s="18"/>
      <c r="C1695" s="16" t="s">
        <v>1679</v>
      </c>
      <c r="D1695" s="19"/>
      <c r="E1695" s="19"/>
      <c r="F1695" s="203" t="str">
        <f t="shared" si="50"/>
        <v/>
      </c>
    </row>
    <row r="1696" spans="1:6" ht="14.1" customHeight="1">
      <c r="A1696" s="14">
        <f t="shared" si="51"/>
        <v>1692</v>
      </c>
      <c r="B1696" s="18"/>
      <c r="C1696" s="16" t="s">
        <v>1679</v>
      </c>
      <c r="D1696" s="19"/>
      <c r="E1696" s="19"/>
      <c r="F1696" s="203" t="str">
        <f t="shared" si="50"/>
        <v/>
      </c>
    </row>
    <row r="1697" spans="1:6" ht="14.1" customHeight="1">
      <c r="A1697" s="14">
        <f t="shared" si="51"/>
        <v>1693</v>
      </c>
      <c r="B1697" s="18"/>
      <c r="C1697" s="16" t="s">
        <v>1679</v>
      </c>
      <c r="D1697" s="19"/>
      <c r="E1697" s="19"/>
      <c r="F1697" s="203" t="str">
        <f t="shared" si="50"/>
        <v/>
      </c>
    </row>
    <row r="1698" spans="1:6" ht="14.1" customHeight="1">
      <c r="A1698" s="14">
        <f t="shared" si="51"/>
        <v>1694</v>
      </c>
      <c r="B1698" s="18"/>
      <c r="C1698" s="16" t="s">
        <v>1679</v>
      </c>
      <c r="D1698" s="19"/>
      <c r="E1698" s="19"/>
      <c r="F1698" s="203" t="str">
        <f t="shared" si="50"/>
        <v/>
      </c>
    </row>
    <row r="1699" spans="1:6" ht="14.1" customHeight="1">
      <c r="A1699" s="14">
        <f t="shared" si="51"/>
        <v>1695</v>
      </c>
      <c r="B1699" s="18"/>
      <c r="C1699" s="16" t="s">
        <v>1679</v>
      </c>
      <c r="D1699" s="19"/>
      <c r="E1699" s="19"/>
      <c r="F1699" s="203" t="str">
        <f t="shared" si="50"/>
        <v/>
      </c>
    </row>
    <row r="1700" spans="1:6" ht="14.1" customHeight="1">
      <c r="A1700" s="14">
        <f t="shared" si="51"/>
        <v>1696</v>
      </c>
      <c r="B1700" s="18"/>
      <c r="C1700" s="16" t="s">
        <v>1679</v>
      </c>
      <c r="D1700" s="19"/>
      <c r="E1700" s="19"/>
      <c r="F1700" s="203" t="str">
        <f t="shared" si="50"/>
        <v/>
      </c>
    </row>
    <row r="1701" spans="1:6" ht="14.1" customHeight="1">
      <c r="A1701" s="14">
        <f t="shared" si="51"/>
        <v>1697</v>
      </c>
      <c r="B1701" s="18"/>
      <c r="C1701" s="16" t="s">
        <v>1679</v>
      </c>
      <c r="D1701" s="19"/>
      <c r="E1701" s="19"/>
      <c r="F1701" s="203" t="str">
        <f t="shared" si="50"/>
        <v/>
      </c>
    </row>
    <row r="1702" spans="1:6" ht="14.1" customHeight="1">
      <c r="A1702" s="14">
        <f t="shared" si="51"/>
        <v>1698</v>
      </c>
      <c r="B1702" s="18"/>
      <c r="C1702" s="16" t="s">
        <v>1679</v>
      </c>
      <c r="D1702" s="19"/>
      <c r="E1702" s="19"/>
      <c r="F1702" s="203" t="str">
        <f t="shared" si="50"/>
        <v/>
      </c>
    </row>
    <row r="1703" spans="1:6" ht="14.1" customHeight="1">
      <c r="A1703" s="14">
        <f t="shared" si="51"/>
        <v>1699</v>
      </c>
      <c r="B1703" s="18"/>
      <c r="C1703" s="16" t="s">
        <v>1679</v>
      </c>
      <c r="D1703" s="19"/>
      <c r="E1703" s="19"/>
      <c r="F1703" s="203" t="str">
        <f t="shared" si="50"/>
        <v/>
      </c>
    </row>
    <row r="1704" spans="1:6" ht="14.1" customHeight="1">
      <c r="A1704" s="14">
        <f t="shared" si="51"/>
        <v>1700</v>
      </c>
      <c r="B1704" s="18"/>
      <c r="C1704" s="16" t="s">
        <v>1679</v>
      </c>
      <c r="D1704" s="19"/>
      <c r="E1704" s="19"/>
      <c r="F1704" s="203" t="str">
        <f t="shared" si="50"/>
        <v/>
      </c>
    </row>
    <row r="1705" spans="1:6" ht="14.1" customHeight="1">
      <c r="A1705" s="14">
        <f t="shared" si="51"/>
        <v>1701</v>
      </c>
      <c r="B1705" s="18"/>
      <c r="C1705" s="16" t="s">
        <v>1679</v>
      </c>
      <c r="D1705" s="19"/>
      <c r="E1705" s="19"/>
      <c r="F1705" s="203" t="str">
        <f t="shared" si="50"/>
        <v/>
      </c>
    </row>
    <row r="1706" spans="1:6" ht="14.1" customHeight="1">
      <c r="A1706" s="14">
        <f t="shared" si="51"/>
        <v>1702</v>
      </c>
      <c r="B1706" s="18"/>
      <c r="C1706" s="16" t="s">
        <v>1679</v>
      </c>
      <c r="D1706" s="19"/>
      <c r="E1706" s="19"/>
      <c r="F1706" s="203" t="str">
        <f t="shared" ref="F1706:F1769" si="52">IF(AND(B1707&lt;&gt;"",B1706=""),"Don't skip lines",IF(AND(D1706="",B1706&lt;&gt;""),"Enter U-value",IF(AND(D1706&lt;&gt;"",B1706=""),"Enter Description","")))</f>
        <v/>
      </c>
    </row>
    <row r="1707" spans="1:6" ht="14.1" customHeight="1">
      <c r="A1707" s="14">
        <f t="shared" si="51"/>
        <v>1703</v>
      </c>
      <c r="B1707" s="18"/>
      <c r="C1707" s="16" t="s">
        <v>1679</v>
      </c>
      <c r="D1707" s="19"/>
      <c r="E1707" s="19"/>
      <c r="F1707" s="203" t="str">
        <f t="shared" si="52"/>
        <v/>
      </c>
    </row>
    <row r="1708" spans="1:6" ht="14.1" customHeight="1">
      <c r="A1708" s="14">
        <f t="shared" si="51"/>
        <v>1704</v>
      </c>
      <c r="B1708" s="18"/>
      <c r="C1708" s="16" t="s">
        <v>1679</v>
      </c>
      <c r="D1708" s="19"/>
      <c r="E1708" s="19"/>
      <c r="F1708" s="203" t="str">
        <f t="shared" si="52"/>
        <v/>
      </c>
    </row>
    <row r="1709" spans="1:6" ht="14.1" customHeight="1">
      <c r="A1709" s="14">
        <f t="shared" si="51"/>
        <v>1705</v>
      </c>
      <c r="B1709" s="18"/>
      <c r="C1709" s="16" t="s">
        <v>1679</v>
      </c>
      <c r="D1709" s="19"/>
      <c r="E1709" s="19"/>
      <c r="F1709" s="203" t="str">
        <f t="shared" si="52"/>
        <v/>
      </c>
    </row>
    <row r="1710" spans="1:6" ht="14.1" customHeight="1">
      <c r="A1710" s="14">
        <f t="shared" si="51"/>
        <v>1706</v>
      </c>
      <c r="B1710" s="18"/>
      <c r="C1710" s="16" t="s">
        <v>1679</v>
      </c>
      <c r="D1710" s="19"/>
      <c r="E1710" s="19"/>
      <c r="F1710" s="203" t="str">
        <f t="shared" si="52"/>
        <v/>
      </c>
    </row>
    <row r="1711" spans="1:6" ht="14.1" customHeight="1">
      <c r="A1711" s="14">
        <f t="shared" si="51"/>
        <v>1707</v>
      </c>
      <c r="B1711" s="18"/>
      <c r="C1711" s="16" t="s">
        <v>1679</v>
      </c>
      <c r="D1711" s="19"/>
      <c r="E1711" s="19"/>
      <c r="F1711" s="203" t="str">
        <f t="shared" si="52"/>
        <v/>
      </c>
    </row>
    <row r="1712" spans="1:6" ht="14.1" customHeight="1">
      <c r="A1712" s="14">
        <f t="shared" si="51"/>
        <v>1708</v>
      </c>
      <c r="B1712" s="18"/>
      <c r="C1712" s="16" t="s">
        <v>1679</v>
      </c>
      <c r="D1712" s="19"/>
      <c r="E1712" s="19"/>
      <c r="F1712" s="203" t="str">
        <f t="shared" si="52"/>
        <v/>
      </c>
    </row>
    <row r="1713" spans="1:6" ht="14.1" customHeight="1">
      <c r="A1713" s="14">
        <f t="shared" si="51"/>
        <v>1709</v>
      </c>
      <c r="B1713" s="18"/>
      <c r="C1713" s="16" t="s">
        <v>1679</v>
      </c>
      <c r="D1713" s="19"/>
      <c r="E1713" s="19"/>
      <c r="F1713" s="203" t="str">
        <f t="shared" si="52"/>
        <v/>
      </c>
    </row>
    <row r="1714" spans="1:6" ht="14.1" customHeight="1">
      <c r="A1714" s="14">
        <f t="shared" si="51"/>
        <v>1710</v>
      </c>
      <c r="B1714" s="18"/>
      <c r="C1714" s="16" t="s">
        <v>1679</v>
      </c>
      <c r="D1714" s="19"/>
      <c r="E1714" s="19"/>
      <c r="F1714" s="203" t="str">
        <f t="shared" si="52"/>
        <v/>
      </c>
    </row>
    <row r="1715" spans="1:6" ht="14.1" customHeight="1">
      <c r="A1715" s="14">
        <f t="shared" si="51"/>
        <v>1711</v>
      </c>
      <c r="B1715" s="18"/>
      <c r="C1715" s="16" t="s">
        <v>1679</v>
      </c>
      <c r="D1715" s="19"/>
      <c r="E1715" s="19"/>
      <c r="F1715" s="203" t="str">
        <f t="shared" si="52"/>
        <v/>
      </c>
    </row>
    <row r="1716" spans="1:6" ht="14.1" customHeight="1">
      <c r="A1716" s="14">
        <f t="shared" si="51"/>
        <v>1712</v>
      </c>
      <c r="B1716" s="18"/>
      <c r="C1716" s="16" t="s">
        <v>1679</v>
      </c>
      <c r="D1716" s="19"/>
      <c r="E1716" s="19"/>
      <c r="F1716" s="203" t="str">
        <f t="shared" si="52"/>
        <v/>
      </c>
    </row>
    <row r="1717" spans="1:6" ht="14.1" customHeight="1">
      <c r="A1717" s="14">
        <f t="shared" si="51"/>
        <v>1713</v>
      </c>
      <c r="B1717" s="18"/>
      <c r="C1717" s="16" t="s">
        <v>1679</v>
      </c>
      <c r="D1717" s="19"/>
      <c r="E1717" s="19"/>
      <c r="F1717" s="203" t="str">
        <f t="shared" si="52"/>
        <v/>
      </c>
    </row>
    <row r="1718" spans="1:6" ht="14.1" customHeight="1">
      <c r="A1718" s="14">
        <f t="shared" si="51"/>
        <v>1714</v>
      </c>
      <c r="B1718" s="18"/>
      <c r="C1718" s="16" t="s">
        <v>1679</v>
      </c>
      <c r="D1718" s="19"/>
      <c r="E1718" s="19"/>
      <c r="F1718" s="203" t="str">
        <f t="shared" si="52"/>
        <v/>
      </c>
    </row>
    <row r="1719" spans="1:6" ht="14.1" customHeight="1">
      <c r="A1719" s="14">
        <f t="shared" si="51"/>
        <v>1715</v>
      </c>
      <c r="B1719" s="18"/>
      <c r="C1719" s="16" t="s">
        <v>1679</v>
      </c>
      <c r="D1719" s="19"/>
      <c r="E1719" s="19"/>
      <c r="F1719" s="203" t="str">
        <f t="shared" si="52"/>
        <v/>
      </c>
    </row>
    <row r="1720" spans="1:6" ht="14.1" customHeight="1">
      <c r="A1720" s="14">
        <f t="shared" si="51"/>
        <v>1716</v>
      </c>
      <c r="B1720" s="18"/>
      <c r="C1720" s="16" t="s">
        <v>1679</v>
      </c>
      <c r="D1720" s="19"/>
      <c r="E1720" s="19"/>
      <c r="F1720" s="203" t="str">
        <f t="shared" si="52"/>
        <v/>
      </c>
    </row>
    <row r="1721" spans="1:6" ht="14.1" customHeight="1">
      <c r="A1721" s="14">
        <f t="shared" si="51"/>
        <v>1717</v>
      </c>
      <c r="B1721" s="18"/>
      <c r="C1721" s="16" t="s">
        <v>1679</v>
      </c>
      <c r="D1721" s="19"/>
      <c r="E1721" s="19"/>
      <c r="F1721" s="203" t="str">
        <f t="shared" si="52"/>
        <v/>
      </c>
    </row>
    <row r="1722" spans="1:6" ht="14.1" customHeight="1">
      <c r="A1722" s="14">
        <f t="shared" si="51"/>
        <v>1718</v>
      </c>
      <c r="B1722" s="18"/>
      <c r="C1722" s="16" t="s">
        <v>1679</v>
      </c>
      <c r="D1722" s="19"/>
      <c r="E1722" s="19"/>
      <c r="F1722" s="203" t="str">
        <f t="shared" si="52"/>
        <v/>
      </c>
    </row>
    <row r="1723" spans="1:6" ht="14.1" customHeight="1">
      <c r="A1723" s="14">
        <f t="shared" si="51"/>
        <v>1719</v>
      </c>
      <c r="B1723" s="18"/>
      <c r="C1723" s="16" t="s">
        <v>1679</v>
      </c>
      <c r="D1723" s="19"/>
      <c r="E1723" s="19"/>
      <c r="F1723" s="203" t="str">
        <f t="shared" si="52"/>
        <v/>
      </c>
    </row>
    <row r="1724" spans="1:6" ht="14.1" customHeight="1">
      <c r="A1724" s="14">
        <f t="shared" si="51"/>
        <v>1720</v>
      </c>
      <c r="B1724" s="18"/>
      <c r="C1724" s="16" t="s">
        <v>1679</v>
      </c>
      <c r="D1724" s="19"/>
      <c r="E1724" s="19"/>
      <c r="F1724" s="203" t="str">
        <f t="shared" si="52"/>
        <v/>
      </c>
    </row>
    <row r="1725" spans="1:6" ht="14.1" customHeight="1">
      <c r="A1725" s="14">
        <f t="shared" si="51"/>
        <v>1721</v>
      </c>
      <c r="B1725" s="18"/>
      <c r="C1725" s="16" t="s">
        <v>1679</v>
      </c>
      <c r="D1725" s="19"/>
      <c r="E1725" s="19"/>
      <c r="F1725" s="203" t="str">
        <f t="shared" si="52"/>
        <v/>
      </c>
    </row>
    <row r="1726" spans="1:6" ht="14.1" customHeight="1">
      <c r="A1726" s="14">
        <f t="shared" si="51"/>
        <v>1722</v>
      </c>
      <c r="B1726" s="18"/>
      <c r="C1726" s="16" t="s">
        <v>1679</v>
      </c>
      <c r="D1726" s="19"/>
      <c r="E1726" s="19"/>
      <c r="F1726" s="203" t="str">
        <f t="shared" si="52"/>
        <v/>
      </c>
    </row>
    <row r="1727" spans="1:6" ht="14.1" customHeight="1">
      <c r="A1727" s="14">
        <f t="shared" si="51"/>
        <v>1723</v>
      </c>
      <c r="B1727" s="18"/>
      <c r="C1727" s="16" t="s">
        <v>1679</v>
      </c>
      <c r="D1727" s="19"/>
      <c r="E1727" s="19"/>
      <c r="F1727" s="203" t="str">
        <f t="shared" si="52"/>
        <v/>
      </c>
    </row>
    <row r="1728" spans="1:6" ht="14.1" customHeight="1">
      <c r="A1728" s="14">
        <f t="shared" si="51"/>
        <v>1724</v>
      </c>
      <c r="B1728" s="18"/>
      <c r="C1728" s="16" t="s">
        <v>1679</v>
      </c>
      <c r="D1728" s="19"/>
      <c r="E1728" s="19"/>
      <c r="F1728" s="203" t="str">
        <f t="shared" si="52"/>
        <v/>
      </c>
    </row>
    <row r="1729" spans="1:6" ht="14.1" customHeight="1">
      <c r="A1729" s="14">
        <f t="shared" si="51"/>
        <v>1725</v>
      </c>
      <c r="B1729" s="18"/>
      <c r="C1729" s="16" t="s">
        <v>1679</v>
      </c>
      <c r="D1729" s="19"/>
      <c r="E1729" s="19"/>
      <c r="F1729" s="203" t="str">
        <f t="shared" si="52"/>
        <v/>
      </c>
    </row>
    <row r="1730" spans="1:6" ht="14.1" customHeight="1">
      <c r="A1730" s="14">
        <f t="shared" si="51"/>
        <v>1726</v>
      </c>
      <c r="B1730" s="18"/>
      <c r="C1730" s="16" t="s">
        <v>1679</v>
      </c>
      <c r="D1730" s="19"/>
      <c r="E1730" s="19"/>
      <c r="F1730" s="203" t="str">
        <f t="shared" si="52"/>
        <v/>
      </c>
    </row>
    <row r="1731" spans="1:6" ht="14.1" customHeight="1">
      <c r="A1731" s="14">
        <f t="shared" ref="A1731:A1794" si="53">A1730+1</f>
        <v>1727</v>
      </c>
      <c r="B1731" s="18"/>
      <c r="C1731" s="16" t="s">
        <v>1679</v>
      </c>
      <c r="D1731" s="19"/>
      <c r="E1731" s="19"/>
      <c r="F1731" s="203" t="str">
        <f t="shared" si="52"/>
        <v/>
      </c>
    </row>
    <row r="1732" spans="1:6" ht="14.1" customHeight="1">
      <c r="A1732" s="14">
        <f t="shared" si="53"/>
        <v>1728</v>
      </c>
      <c r="B1732" s="18"/>
      <c r="C1732" s="16" t="s">
        <v>1679</v>
      </c>
      <c r="D1732" s="19"/>
      <c r="E1732" s="19"/>
      <c r="F1732" s="203" t="str">
        <f t="shared" si="52"/>
        <v/>
      </c>
    </row>
    <row r="1733" spans="1:6" ht="14.1" customHeight="1">
      <c r="A1733" s="14">
        <f t="shared" si="53"/>
        <v>1729</v>
      </c>
      <c r="B1733" s="18"/>
      <c r="C1733" s="16" t="s">
        <v>1679</v>
      </c>
      <c r="D1733" s="19"/>
      <c r="E1733" s="19"/>
      <c r="F1733" s="203" t="str">
        <f t="shared" si="52"/>
        <v/>
      </c>
    </row>
    <row r="1734" spans="1:6" ht="14.1" customHeight="1">
      <c r="A1734" s="14">
        <f t="shared" si="53"/>
        <v>1730</v>
      </c>
      <c r="B1734" s="18"/>
      <c r="C1734" s="16" t="s">
        <v>1679</v>
      </c>
      <c r="D1734" s="19"/>
      <c r="E1734" s="19"/>
      <c r="F1734" s="203" t="str">
        <f t="shared" si="52"/>
        <v/>
      </c>
    </row>
    <row r="1735" spans="1:6" ht="14.1" customHeight="1">
      <c r="A1735" s="14">
        <f t="shared" si="53"/>
        <v>1731</v>
      </c>
      <c r="B1735" s="18"/>
      <c r="C1735" s="16" t="s">
        <v>1679</v>
      </c>
      <c r="D1735" s="19"/>
      <c r="E1735" s="19"/>
      <c r="F1735" s="203" t="str">
        <f t="shared" si="52"/>
        <v/>
      </c>
    </row>
    <row r="1736" spans="1:6" ht="14.1" customHeight="1">
      <c r="A1736" s="14">
        <f t="shared" si="53"/>
        <v>1732</v>
      </c>
      <c r="B1736" s="18"/>
      <c r="C1736" s="16" t="s">
        <v>1679</v>
      </c>
      <c r="D1736" s="19"/>
      <c r="E1736" s="19"/>
      <c r="F1736" s="203" t="str">
        <f t="shared" si="52"/>
        <v/>
      </c>
    </row>
    <row r="1737" spans="1:6" ht="14.1" customHeight="1">
      <c r="A1737" s="14">
        <f t="shared" si="53"/>
        <v>1733</v>
      </c>
      <c r="B1737" s="18"/>
      <c r="C1737" s="16" t="s">
        <v>1679</v>
      </c>
      <c r="D1737" s="19"/>
      <c r="E1737" s="19"/>
      <c r="F1737" s="203" t="str">
        <f t="shared" si="52"/>
        <v/>
      </c>
    </row>
    <row r="1738" spans="1:6" ht="14.1" customHeight="1">
      <c r="A1738" s="14">
        <f t="shared" si="53"/>
        <v>1734</v>
      </c>
      <c r="B1738" s="18"/>
      <c r="C1738" s="16" t="s">
        <v>1679</v>
      </c>
      <c r="D1738" s="19"/>
      <c r="E1738" s="19"/>
      <c r="F1738" s="203" t="str">
        <f t="shared" si="52"/>
        <v/>
      </c>
    </row>
    <row r="1739" spans="1:6" ht="14.1" customHeight="1">
      <c r="A1739" s="14">
        <f t="shared" si="53"/>
        <v>1735</v>
      </c>
      <c r="B1739" s="18"/>
      <c r="C1739" s="16" t="s">
        <v>1679</v>
      </c>
      <c r="D1739" s="19"/>
      <c r="E1739" s="19"/>
      <c r="F1739" s="203" t="str">
        <f t="shared" si="52"/>
        <v/>
      </c>
    </row>
    <row r="1740" spans="1:6" ht="14.1" customHeight="1">
      <c r="A1740" s="14">
        <f t="shared" si="53"/>
        <v>1736</v>
      </c>
      <c r="B1740" s="18"/>
      <c r="C1740" s="16" t="s">
        <v>1679</v>
      </c>
      <c r="D1740" s="19"/>
      <c r="E1740" s="19"/>
      <c r="F1740" s="203" t="str">
        <f t="shared" si="52"/>
        <v/>
      </c>
    </row>
    <row r="1741" spans="1:6" ht="14.1" customHeight="1">
      <c r="A1741" s="14">
        <f t="shared" si="53"/>
        <v>1737</v>
      </c>
      <c r="B1741" s="18"/>
      <c r="C1741" s="16" t="s">
        <v>1679</v>
      </c>
      <c r="D1741" s="19"/>
      <c r="E1741" s="19"/>
      <c r="F1741" s="203" t="str">
        <f t="shared" si="52"/>
        <v/>
      </c>
    </row>
    <row r="1742" spans="1:6" ht="14.1" customHeight="1">
      <c r="A1742" s="14">
        <f t="shared" si="53"/>
        <v>1738</v>
      </c>
      <c r="B1742" s="18"/>
      <c r="C1742" s="16" t="s">
        <v>1679</v>
      </c>
      <c r="D1742" s="19"/>
      <c r="E1742" s="19"/>
      <c r="F1742" s="203" t="str">
        <f t="shared" si="52"/>
        <v/>
      </c>
    </row>
    <row r="1743" spans="1:6" ht="14.1" customHeight="1">
      <c r="A1743" s="14">
        <f t="shared" si="53"/>
        <v>1739</v>
      </c>
      <c r="B1743" s="18"/>
      <c r="C1743" s="16" t="s">
        <v>1679</v>
      </c>
      <c r="D1743" s="19"/>
      <c r="E1743" s="19"/>
      <c r="F1743" s="203" t="str">
        <f t="shared" si="52"/>
        <v/>
      </c>
    </row>
    <row r="1744" spans="1:6" ht="14.1" customHeight="1">
      <c r="A1744" s="14">
        <f t="shared" si="53"/>
        <v>1740</v>
      </c>
      <c r="B1744" s="18"/>
      <c r="C1744" s="16" t="s">
        <v>1679</v>
      </c>
      <c r="D1744" s="19"/>
      <c r="E1744" s="19"/>
      <c r="F1744" s="203" t="str">
        <f t="shared" si="52"/>
        <v/>
      </c>
    </row>
    <row r="1745" spans="1:6" ht="14.1" customHeight="1">
      <c r="A1745" s="14">
        <f t="shared" si="53"/>
        <v>1741</v>
      </c>
      <c r="B1745" s="18"/>
      <c r="C1745" s="16" t="s">
        <v>1679</v>
      </c>
      <c r="D1745" s="19"/>
      <c r="E1745" s="19"/>
      <c r="F1745" s="203" t="str">
        <f t="shared" si="52"/>
        <v/>
      </c>
    </row>
    <row r="1746" spans="1:6" ht="14.1" customHeight="1">
      <c r="A1746" s="14">
        <f t="shared" si="53"/>
        <v>1742</v>
      </c>
      <c r="B1746" s="18"/>
      <c r="C1746" s="16" t="s">
        <v>1679</v>
      </c>
      <c r="D1746" s="19"/>
      <c r="E1746" s="19"/>
      <c r="F1746" s="203" t="str">
        <f t="shared" si="52"/>
        <v/>
      </c>
    </row>
    <row r="1747" spans="1:6" ht="14.1" customHeight="1">
      <c r="A1747" s="14">
        <f t="shared" si="53"/>
        <v>1743</v>
      </c>
      <c r="B1747" s="18"/>
      <c r="C1747" s="16" t="s">
        <v>1679</v>
      </c>
      <c r="D1747" s="19"/>
      <c r="E1747" s="19"/>
      <c r="F1747" s="203" t="str">
        <f t="shared" si="52"/>
        <v/>
      </c>
    </row>
    <row r="1748" spans="1:6" ht="14.1" customHeight="1">
      <c r="A1748" s="14">
        <f t="shared" si="53"/>
        <v>1744</v>
      </c>
      <c r="B1748" s="18"/>
      <c r="C1748" s="16" t="s">
        <v>1679</v>
      </c>
      <c r="D1748" s="19"/>
      <c r="E1748" s="19"/>
      <c r="F1748" s="203" t="str">
        <f t="shared" si="52"/>
        <v/>
      </c>
    </row>
    <row r="1749" spans="1:6" ht="14.1" customHeight="1">
      <c r="A1749" s="14">
        <f t="shared" si="53"/>
        <v>1745</v>
      </c>
      <c r="B1749" s="18"/>
      <c r="C1749" s="16" t="s">
        <v>1679</v>
      </c>
      <c r="D1749" s="19"/>
      <c r="E1749" s="19"/>
      <c r="F1749" s="203" t="str">
        <f t="shared" si="52"/>
        <v/>
      </c>
    </row>
    <row r="1750" spans="1:6" ht="14.1" customHeight="1">
      <c r="A1750" s="14">
        <f t="shared" si="53"/>
        <v>1746</v>
      </c>
      <c r="B1750" s="18"/>
      <c r="C1750" s="16" t="s">
        <v>1679</v>
      </c>
      <c r="D1750" s="19"/>
      <c r="E1750" s="19"/>
      <c r="F1750" s="203" t="str">
        <f t="shared" si="52"/>
        <v/>
      </c>
    </row>
    <row r="1751" spans="1:6" ht="14.1" customHeight="1">
      <c r="A1751" s="14">
        <f t="shared" si="53"/>
        <v>1747</v>
      </c>
      <c r="B1751" s="18"/>
      <c r="C1751" s="16" t="s">
        <v>1679</v>
      </c>
      <c r="D1751" s="19"/>
      <c r="E1751" s="19"/>
      <c r="F1751" s="203" t="str">
        <f t="shared" si="52"/>
        <v/>
      </c>
    </row>
    <row r="1752" spans="1:6" ht="14.1" customHeight="1">
      <c r="A1752" s="14">
        <f t="shared" si="53"/>
        <v>1748</v>
      </c>
      <c r="B1752" s="18"/>
      <c r="C1752" s="16" t="s">
        <v>1679</v>
      </c>
      <c r="D1752" s="19"/>
      <c r="E1752" s="19"/>
      <c r="F1752" s="203" t="str">
        <f t="shared" si="52"/>
        <v/>
      </c>
    </row>
    <row r="1753" spans="1:6" ht="14.1" customHeight="1">
      <c r="A1753" s="14">
        <f t="shared" si="53"/>
        <v>1749</v>
      </c>
      <c r="B1753" s="18"/>
      <c r="C1753" s="16" t="s">
        <v>1679</v>
      </c>
      <c r="D1753" s="19"/>
      <c r="E1753" s="19"/>
      <c r="F1753" s="203" t="str">
        <f t="shared" si="52"/>
        <v/>
      </c>
    </row>
    <row r="1754" spans="1:6" ht="14.1" customHeight="1">
      <c r="A1754" s="14">
        <f t="shared" si="53"/>
        <v>1750</v>
      </c>
      <c r="B1754" s="18"/>
      <c r="C1754" s="16" t="s">
        <v>1679</v>
      </c>
      <c r="D1754" s="19"/>
      <c r="E1754" s="19"/>
      <c r="F1754" s="203" t="str">
        <f t="shared" si="52"/>
        <v/>
      </c>
    </row>
    <row r="1755" spans="1:6" ht="14.1" customHeight="1">
      <c r="A1755" s="14">
        <f t="shared" si="53"/>
        <v>1751</v>
      </c>
      <c r="B1755" s="18"/>
      <c r="C1755" s="16" t="s">
        <v>1679</v>
      </c>
      <c r="D1755" s="19"/>
      <c r="E1755" s="19"/>
      <c r="F1755" s="203" t="str">
        <f t="shared" si="52"/>
        <v/>
      </c>
    </row>
    <row r="1756" spans="1:6" ht="14.1" customHeight="1">
      <c r="A1756" s="14">
        <f t="shared" si="53"/>
        <v>1752</v>
      </c>
      <c r="B1756" s="18"/>
      <c r="C1756" s="16" t="s">
        <v>1679</v>
      </c>
      <c r="D1756" s="19"/>
      <c r="E1756" s="19"/>
      <c r="F1756" s="203" t="str">
        <f t="shared" si="52"/>
        <v/>
      </c>
    </row>
    <row r="1757" spans="1:6" ht="14.1" customHeight="1">
      <c r="A1757" s="14">
        <f t="shared" si="53"/>
        <v>1753</v>
      </c>
      <c r="B1757" s="18"/>
      <c r="C1757" s="16" t="s">
        <v>1679</v>
      </c>
      <c r="D1757" s="19"/>
      <c r="E1757" s="19"/>
      <c r="F1757" s="203" t="str">
        <f t="shared" si="52"/>
        <v/>
      </c>
    </row>
    <row r="1758" spans="1:6" ht="14.1" customHeight="1">
      <c r="A1758" s="14">
        <f t="shared" si="53"/>
        <v>1754</v>
      </c>
      <c r="B1758" s="18"/>
      <c r="C1758" s="16" t="s">
        <v>1679</v>
      </c>
      <c r="D1758" s="19"/>
      <c r="E1758" s="19"/>
      <c r="F1758" s="203" t="str">
        <f t="shared" si="52"/>
        <v/>
      </c>
    </row>
    <row r="1759" spans="1:6" ht="14.1" customHeight="1">
      <c r="A1759" s="14">
        <f t="shared" si="53"/>
        <v>1755</v>
      </c>
      <c r="B1759" s="18"/>
      <c r="C1759" s="16" t="s">
        <v>1679</v>
      </c>
      <c r="D1759" s="19"/>
      <c r="E1759" s="19"/>
      <c r="F1759" s="203" t="str">
        <f t="shared" si="52"/>
        <v/>
      </c>
    </row>
    <row r="1760" spans="1:6" ht="14.1" customHeight="1">
      <c r="A1760" s="14">
        <f t="shared" si="53"/>
        <v>1756</v>
      </c>
      <c r="B1760" s="18"/>
      <c r="C1760" s="16" t="s">
        <v>1679</v>
      </c>
      <c r="D1760" s="19"/>
      <c r="E1760" s="19"/>
      <c r="F1760" s="203" t="str">
        <f t="shared" si="52"/>
        <v/>
      </c>
    </row>
    <row r="1761" spans="1:6" ht="14.1" customHeight="1">
      <c r="A1761" s="14">
        <f t="shared" si="53"/>
        <v>1757</v>
      </c>
      <c r="B1761" s="18"/>
      <c r="C1761" s="16" t="s">
        <v>1679</v>
      </c>
      <c r="D1761" s="19"/>
      <c r="E1761" s="19"/>
      <c r="F1761" s="203" t="str">
        <f t="shared" si="52"/>
        <v/>
      </c>
    </row>
    <row r="1762" spans="1:6" ht="14.1" customHeight="1">
      <c r="A1762" s="14">
        <f t="shared" si="53"/>
        <v>1758</v>
      </c>
      <c r="B1762" s="18"/>
      <c r="C1762" s="16" t="s">
        <v>1679</v>
      </c>
      <c r="D1762" s="19"/>
      <c r="E1762" s="19"/>
      <c r="F1762" s="203" t="str">
        <f t="shared" si="52"/>
        <v/>
      </c>
    </row>
    <row r="1763" spans="1:6" ht="14.1" customHeight="1">
      <c r="A1763" s="14">
        <f t="shared" si="53"/>
        <v>1759</v>
      </c>
      <c r="B1763" s="18"/>
      <c r="C1763" s="16" t="s">
        <v>1679</v>
      </c>
      <c r="D1763" s="19"/>
      <c r="E1763" s="19"/>
      <c r="F1763" s="203" t="str">
        <f t="shared" si="52"/>
        <v/>
      </c>
    </row>
    <row r="1764" spans="1:6" ht="14.1" customHeight="1">
      <c r="A1764" s="14">
        <f t="shared" si="53"/>
        <v>1760</v>
      </c>
      <c r="B1764" s="18"/>
      <c r="C1764" s="16" t="s">
        <v>1679</v>
      </c>
      <c r="D1764" s="19"/>
      <c r="E1764" s="19"/>
      <c r="F1764" s="203" t="str">
        <f t="shared" si="52"/>
        <v/>
      </c>
    </row>
    <row r="1765" spans="1:6" ht="14.1" customHeight="1">
      <c r="A1765" s="14">
        <f t="shared" si="53"/>
        <v>1761</v>
      </c>
      <c r="B1765" s="18"/>
      <c r="C1765" s="16" t="s">
        <v>1679</v>
      </c>
      <c r="D1765" s="19"/>
      <c r="E1765" s="19"/>
      <c r="F1765" s="203" t="str">
        <f t="shared" si="52"/>
        <v/>
      </c>
    </row>
    <row r="1766" spans="1:6" ht="14.1" customHeight="1">
      <c r="A1766" s="14">
        <f t="shared" si="53"/>
        <v>1762</v>
      </c>
      <c r="B1766" s="18"/>
      <c r="C1766" s="16" t="s">
        <v>1679</v>
      </c>
      <c r="D1766" s="19"/>
      <c r="E1766" s="19"/>
      <c r="F1766" s="203" t="str">
        <f t="shared" si="52"/>
        <v/>
      </c>
    </row>
    <row r="1767" spans="1:6" ht="14.1" customHeight="1">
      <c r="A1767" s="14">
        <f t="shared" si="53"/>
        <v>1763</v>
      </c>
      <c r="B1767" s="18"/>
      <c r="C1767" s="16" t="s">
        <v>1679</v>
      </c>
      <c r="D1767" s="19"/>
      <c r="E1767" s="19"/>
      <c r="F1767" s="203" t="str">
        <f t="shared" si="52"/>
        <v/>
      </c>
    </row>
    <row r="1768" spans="1:6" ht="14.1" customHeight="1">
      <c r="A1768" s="14">
        <f t="shared" si="53"/>
        <v>1764</v>
      </c>
      <c r="B1768" s="18"/>
      <c r="C1768" s="16" t="s">
        <v>1679</v>
      </c>
      <c r="D1768" s="19"/>
      <c r="E1768" s="19"/>
      <c r="F1768" s="203" t="str">
        <f t="shared" si="52"/>
        <v/>
      </c>
    </row>
    <row r="1769" spans="1:6" ht="14.1" customHeight="1">
      <c r="A1769" s="14">
        <f t="shared" si="53"/>
        <v>1765</v>
      </c>
      <c r="B1769" s="18"/>
      <c r="C1769" s="16" t="s">
        <v>1679</v>
      </c>
      <c r="D1769" s="19"/>
      <c r="E1769" s="19"/>
      <c r="F1769" s="203" t="str">
        <f t="shared" si="52"/>
        <v/>
      </c>
    </row>
    <row r="1770" spans="1:6" ht="14.1" customHeight="1">
      <c r="A1770" s="14">
        <f t="shared" si="53"/>
        <v>1766</v>
      </c>
      <c r="B1770" s="18"/>
      <c r="C1770" s="16" t="s">
        <v>1679</v>
      </c>
      <c r="D1770" s="19"/>
      <c r="E1770" s="19"/>
      <c r="F1770" s="203" t="str">
        <f t="shared" ref="F1770:F1833" si="54">IF(AND(B1771&lt;&gt;"",B1770=""),"Don't skip lines",IF(AND(D1770="",B1770&lt;&gt;""),"Enter U-value",IF(AND(D1770&lt;&gt;"",B1770=""),"Enter Description","")))</f>
        <v/>
      </c>
    </row>
    <row r="1771" spans="1:6" ht="14.1" customHeight="1">
      <c r="A1771" s="14">
        <f t="shared" si="53"/>
        <v>1767</v>
      </c>
      <c r="B1771" s="18"/>
      <c r="C1771" s="16" t="s">
        <v>1679</v>
      </c>
      <c r="D1771" s="19"/>
      <c r="E1771" s="19"/>
      <c r="F1771" s="203" t="str">
        <f t="shared" si="54"/>
        <v/>
      </c>
    </row>
    <row r="1772" spans="1:6" ht="14.1" customHeight="1">
      <c r="A1772" s="14">
        <f t="shared" si="53"/>
        <v>1768</v>
      </c>
      <c r="B1772" s="18"/>
      <c r="C1772" s="16" t="s">
        <v>1679</v>
      </c>
      <c r="D1772" s="19"/>
      <c r="E1772" s="19"/>
      <c r="F1772" s="203" t="str">
        <f t="shared" si="54"/>
        <v/>
      </c>
    </row>
    <row r="1773" spans="1:6" ht="14.1" customHeight="1">
      <c r="A1773" s="14">
        <f t="shared" si="53"/>
        <v>1769</v>
      </c>
      <c r="B1773" s="18"/>
      <c r="C1773" s="16" t="s">
        <v>1679</v>
      </c>
      <c r="D1773" s="19"/>
      <c r="E1773" s="19"/>
      <c r="F1773" s="203" t="str">
        <f t="shared" si="54"/>
        <v/>
      </c>
    </row>
    <row r="1774" spans="1:6" ht="14.1" customHeight="1">
      <c r="A1774" s="14">
        <f t="shared" si="53"/>
        <v>1770</v>
      </c>
      <c r="B1774" s="18"/>
      <c r="C1774" s="16" t="s">
        <v>1679</v>
      </c>
      <c r="D1774" s="19"/>
      <c r="E1774" s="19"/>
      <c r="F1774" s="203" t="str">
        <f t="shared" si="54"/>
        <v/>
      </c>
    </row>
    <row r="1775" spans="1:6" ht="14.1" customHeight="1">
      <c r="A1775" s="14">
        <f t="shared" si="53"/>
        <v>1771</v>
      </c>
      <c r="B1775" s="18"/>
      <c r="C1775" s="16" t="s">
        <v>1679</v>
      </c>
      <c r="D1775" s="19"/>
      <c r="E1775" s="19"/>
      <c r="F1775" s="203" t="str">
        <f t="shared" si="54"/>
        <v/>
      </c>
    </row>
    <row r="1776" spans="1:6" ht="14.1" customHeight="1">
      <c r="A1776" s="14">
        <f t="shared" si="53"/>
        <v>1772</v>
      </c>
      <c r="B1776" s="18"/>
      <c r="C1776" s="16" t="s">
        <v>1679</v>
      </c>
      <c r="D1776" s="19"/>
      <c r="E1776" s="19"/>
      <c r="F1776" s="203" t="str">
        <f t="shared" si="54"/>
        <v/>
      </c>
    </row>
    <row r="1777" spans="1:6" ht="14.1" customHeight="1">
      <c r="A1777" s="14">
        <f t="shared" si="53"/>
        <v>1773</v>
      </c>
      <c r="B1777" s="18"/>
      <c r="C1777" s="16" t="s">
        <v>1679</v>
      </c>
      <c r="D1777" s="19"/>
      <c r="E1777" s="19"/>
      <c r="F1777" s="203" t="str">
        <f t="shared" si="54"/>
        <v/>
      </c>
    </row>
    <row r="1778" spans="1:6" ht="14.1" customHeight="1">
      <c r="A1778" s="14">
        <f t="shared" si="53"/>
        <v>1774</v>
      </c>
      <c r="B1778" s="18"/>
      <c r="C1778" s="16" t="s">
        <v>1679</v>
      </c>
      <c r="D1778" s="19"/>
      <c r="E1778" s="19"/>
      <c r="F1778" s="203" t="str">
        <f t="shared" si="54"/>
        <v/>
      </c>
    </row>
    <row r="1779" spans="1:6" ht="14.1" customHeight="1">
      <c r="A1779" s="14">
        <f t="shared" si="53"/>
        <v>1775</v>
      </c>
      <c r="B1779" s="18"/>
      <c r="C1779" s="16" t="s">
        <v>1679</v>
      </c>
      <c r="D1779" s="19"/>
      <c r="E1779" s="19"/>
      <c r="F1779" s="203" t="str">
        <f t="shared" si="54"/>
        <v/>
      </c>
    </row>
    <row r="1780" spans="1:6" ht="14.1" customHeight="1">
      <c r="A1780" s="14">
        <f t="shared" si="53"/>
        <v>1776</v>
      </c>
      <c r="B1780" s="18"/>
      <c r="C1780" s="16" t="s">
        <v>1679</v>
      </c>
      <c r="D1780" s="19"/>
      <c r="E1780" s="19"/>
      <c r="F1780" s="203" t="str">
        <f t="shared" si="54"/>
        <v/>
      </c>
    </row>
    <row r="1781" spans="1:6" ht="14.1" customHeight="1">
      <c r="A1781" s="14">
        <f t="shared" si="53"/>
        <v>1777</v>
      </c>
      <c r="B1781" s="18"/>
      <c r="C1781" s="16" t="s">
        <v>1679</v>
      </c>
      <c r="D1781" s="19"/>
      <c r="E1781" s="19"/>
      <c r="F1781" s="203" t="str">
        <f t="shared" si="54"/>
        <v/>
      </c>
    </row>
    <row r="1782" spans="1:6" ht="14.1" customHeight="1">
      <c r="A1782" s="14">
        <f t="shared" si="53"/>
        <v>1778</v>
      </c>
      <c r="B1782" s="18"/>
      <c r="C1782" s="16" t="s">
        <v>1679</v>
      </c>
      <c r="D1782" s="19"/>
      <c r="E1782" s="19"/>
      <c r="F1782" s="203" t="str">
        <f t="shared" si="54"/>
        <v/>
      </c>
    </row>
    <row r="1783" spans="1:6" ht="14.1" customHeight="1">
      <c r="A1783" s="14">
        <f t="shared" si="53"/>
        <v>1779</v>
      </c>
      <c r="B1783" s="18"/>
      <c r="C1783" s="16" t="s">
        <v>1679</v>
      </c>
      <c r="D1783" s="19"/>
      <c r="E1783" s="19"/>
      <c r="F1783" s="203" t="str">
        <f t="shared" si="54"/>
        <v/>
      </c>
    </row>
    <row r="1784" spans="1:6" ht="14.1" customHeight="1">
      <c r="A1784" s="14">
        <f t="shared" si="53"/>
        <v>1780</v>
      </c>
      <c r="B1784" s="18"/>
      <c r="C1784" s="16" t="s">
        <v>1679</v>
      </c>
      <c r="D1784" s="19"/>
      <c r="E1784" s="19"/>
      <c r="F1784" s="203" t="str">
        <f t="shared" si="54"/>
        <v/>
      </c>
    </row>
    <row r="1785" spans="1:6" ht="14.1" customHeight="1">
      <c r="A1785" s="14">
        <f t="shared" si="53"/>
        <v>1781</v>
      </c>
      <c r="B1785" s="18"/>
      <c r="C1785" s="16" t="s">
        <v>1679</v>
      </c>
      <c r="D1785" s="19"/>
      <c r="E1785" s="19"/>
      <c r="F1785" s="203" t="str">
        <f t="shared" si="54"/>
        <v/>
      </c>
    </row>
    <row r="1786" spans="1:6" ht="14.1" customHeight="1">
      <c r="A1786" s="14">
        <f t="shared" si="53"/>
        <v>1782</v>
      </c>
      <c r="B1786" s="18"/>
      <c r="C1786" s="16" t="s">
        <v>1679</v>
      </c>
      <c r="D1786" s="19"/>
      <c r="E1786" s="19"/>
      <c r="F1786" s="203" t="str">
        <f t="shared" si="54"/>
        <v/>
      </c>
    </row>
    <row r="1787" spans="1:6" ht="14.1" customHeight="1">
      <c r="A1787" s="14">
        <f t="shared" si="53"/>
        <v>1783</v>
      </c>
      <c r="B1787" s="18"/>
      <c r="C1787" s="16" t="s">
        <v>1679</v>
      </c>
      <c r="D1787" s="19"/>
      <c r="E1787" s="19"/>
      <c r="F1787" s="203" t="str">
        <f t="shared" si="54"/>
        <v/>
      </c>
    </row>
    <row r="1788" spans="1:6" ht="14.1" customHeight="1">
      <c r="A1788" s="14">
        <f t="shared" si="53"/>
        <v>1784</v>
      </c>
      <c r="B1788" s="18"/>
      <c r="C1788" s="16" t="s">
        <v>1679</v>
      </c>
      <c r="D1788" s="19"/>
      <c r="E1788" s="19"/>
      <c r="F1788" s="203" t="str">
        <f t="shared" si="54"/>
        <v/>
      </c>
    </row>
    <row r="1789" spans="1:6" ht="14.1" customHeight="1">
      <c r="A1789" s="14">
        <f t="shared" si="53"/>
        <v>1785</v>
      </c>
      <c r="B1789" s="18"/>
      <c r="C1789" s="16" t="s">
        <v>1679</v>
      </c>
      <c r="D1789" s="19"/>
      <c r="E1789" s="19"/>
      <c r="F1789" s="203" t="str">
        <f t="shared" si="54"/>
        <v/>
      </c>
    </row>
    <row r="1790" spans="1:6" ht="14.1" customHeight="1">
      <c r="A1790" s="14">
        <f t="shared" si="53"/>
        <v>1786</v>
      </c>
      <c r="B1790" s="18"/>
      <c r="C1790" s="16" t="s">
        <v>1679</v>
      </c>
      <c r="D1790" s="19"/>
      <c r="E1790" s="19"/>
      <c r="F1790" s="203" t="str">
        <f t="shared" si="54"/>
        <v/>
      </c>
    </row>
    <row r="1791" spans="1:6" ht="14.1" customHeight="1">
      <c r="A1791" s="14">
        <f t="shared" si="53"/>
        <v>1787</v>
      </c>
      <c r="B1791" s="18"/>
      <c r="C1791" s="16" t="s">
        <v>1679</v>
      </c>
      <c r="D1791" s="19"/>
      <c r="E1791" s="19"/>
      <c r="F1791" s="203" t="str">
        <f t="shared" si="54"/>
        <v/>
      </c>
    </row>
    <row r="1792" spans="1:6" ht="14.1" customHeight="1">
      <c r="A1792" s="14">
        <f t="shared" si="53"/>
        <v>1788</v>
      </c>
      <c r="B1792" s="18"/>
      <c r="C1792" s="16" t="s">
        <v>1679</v>
      </c>
      <c r="D1792" s="19"/>
      <c r="E1792" s="19"/>
      <c r="F1792" s="203" t="str">
        <f t="shared" si="54"/>
        <v/>
      </c>
    </row>
    <row r="1793" spans="1:6" ht="14.1" customHeight="1">
      <c r="A1793" s="14">
        <f t="shared" si="53"/>
        <v>1789</v>
      </c>
      <c r="B1793" s="18"/>
      <c r="C1793" s="16" t="s">
        <v>1679</v>
      </c>
      <c r="D1793" s="19"/>
      <c r="E1793" s="19"/>
      <c r="F1793" s="203" t="str">
        <f t="shared" si="54"/>
        <v/>
      </c>
    </row>
    <row r="1794" spans="1:6" ht="14.1" customHeight="1">
      <c r="A1794" s="14">
        <f t="shared" si="53"/>
        <v>1790</v>
      </c>
      <c r="B1794" s="18"/>
      <c r="C1794" s="16" t="s">
        <v>1679</v>
      </c>
      <c r="D1794" s="19"/>
      <c r="E1794" s="19"/>
      <c r="F1794" s="203" t="str">
        <f t="shared" si="54"/>
        <v/>
      </c>
    </row>
    <row r="1795" spans="1:6" ht="14.1" customHeight="1">
      <c r="A1795" s="14">
        <f t="shared" ref="A1795:A1858" si="55">A1794+1</f>
        <v>1791</v>
      </c>
      <c r="B1795" s="18"/>
      <c r="C1795" s="16" t="s">
        <v>1679</v>
      </c>
      <c r="D1795" s="19"/>
      <c r="E1795" s="19"/>
      <c r="F1795" s="203" t="str">
        <f t="shared" si="54"/>
        <v/>
      </c>
    </row>
    <row r="1796" spans="1:6" ht="14.1" customHeight="1">
      <c r="A1796" s="14">
        <f t="shared" si="55"/>
        <v>1792</v>
      </c>
      <c r="B1796" s="18"/>
      <c r="C1796" s="16" t="s">
        <v>1679</v>
      </c>
      <c r="D1796" s="19"/>
      <c r="E1796" s="19"/>
      <c r="F1796" s="203" t="str">
        <f t="shared" si="54"/>
        <v/>
      </c>
    </row>
    <row r="1797" spans="1:6" ht="14.1" customHeight="1">
      <c r="A1797" s="14">
        <f t="shared" si="55"/>
        <v>1793</v>
      </c>
      <c r="B1797" s="18"/>
      <c r="C1797" s="16" t="s">
        <v>1679</v>
      </c>
      <c r="D1797" s="19"/>
      <c r="E1797" s="19"/>
      <c r="F1797" s="203" t="str">
        <f t="shared" si="54"/>
        <v/>
      </c>
    </row>
    <row r="1798" spans="1:6" ht="14.1" customHeight="1">
      <c r="A1798" s="14">
        <f t="shared" si="55"/>
        <v>1794</v>
      </c>
      <c r="B1798" s="18"/>
      <c r="C1798" s="16" t="s">
        <v>1679</v>
      </c>
      <c r="D1798" s="19"/>
      <c r="E1798" s="19"/>
      <c r="F1798" s="203" t="str">
        <f t="shared" si="54"/>
        <v/>
      </c>
    </row>
    <row r="1799" spans="1:6" ht="14.1" customHeight="1">
      <c r="A1799" s="14">
        <f t="shared" si="55"/>
        <v>1795</v>
      </c>
      <c r="B1799" s="18"/>
      <c r="C1799" s="16" t="s">
        <v>1679</v>
      </c>
      <c r="D1799" s="19"/>
      <c r="E1799" s="19"/>
      <c r="F1799" s="203" t="str">
        <f t="shared" si="54"/>
        <v/>
      </c>
    </row>
    <row r="1800" spans="1:6" ht="14.1" customHeight="1">
      <c r="A1800" s="14">
        <f t="shared" si="55"/>
        <v>1796</v>
      </c>
      <c r="B1800" s="18"/>
      <c r="C1800" s="16" t="s">
        <v>1679</v>
      </c>
      <c r="D1800" s="19"/>
      <c r="E1800" s="19"/>
      <c r="F1800" s="203" t="str">
        <f t="shared" si="54"/>
        <v/>
      </c>
    </row>
    <row r="1801" spans="1:6" ht="14.1" customHeight="1">
      <c r="A1801" s="14">
        <f t="shared" si="55"/>
        <v>1797</v>
      </c>
      <c r="B1801" s="18"/>
      <c r="C1801" s="16" t="s">
        <v>1679</v>
      </c>
      <c r="D1801" s="19"/>
      <c r="E1801" s="19"/>
      <c r="F1801" s="203" t="str">
        <f t="shared" si="54"/>
        <v/>
      </c>
    </row>
    <row r="1802" spans="1:6" ht="14.1" customHeight="1">
      <c r="A1802" s="14">
        <f t="shared" si="55"/>
        <v>1798</v>
      </c>
      <c r="B1802" s="18"/>
      <c r="C1802" s="16" t="s">
        <v>1679</v>
      </c>
      <c r="D1802" s="19"/>
      <c r="E1802" s="19"/>
      <c r="F1802" s="203" t="str">
        <f t="shared" si="54"/>
        <v/>
      </c>
    </row>
    <row r="1803" spans="1:6" ht="14.1" customHeight="1">
      <c r="A1803" s="14">
        <f t="shared" si="55"/>
        <v>1799</v>
      </c>
      <c r="B1803" s="18"/>
      <c r="C1803" s="16" t="s">
        <v>1679</v>
      </c>
      <c r="D1803" s="19"/>
      <c r="E1803" s="19"/>
      <c r="F1803" s="203" t="str">
        <f t="shared" si="54"/>
        <v/>
      </c>
    </row>
    <row r="1804" spans="1:6" ht="14.1" customHeight="1">
      <c r="A1804" s="14">
        <f t="shared" si="55"/>
        <v>1800</v>
      </c>
      <c r="B1804" s="18"/>
      <c r="C1804" s="16" t="s">
        <v>1679</v>
      </c>
      <c r="D1804" s="19"/>
      <c r="E1804" s="19"/>
      <c r="F1804" s="203" t="str">
        <f t="shared" si="54"/>
        <v/>
      </c>
    </row>
    <row r="1805" spans="1:6" ht="14.1" customHeight="1">
      <c r="A1805" s="14">
        <f t="shared" si="55"/>
        <v>1801</v>
      </c>
      <c r="B1805" s="18"/>
      <c r="C1805" s="16" t="s">
        <v>1679</v>
      </c>
      <c r="D1805" s="19"/>
      <c r="E1805" s="19"/>
      <c r="F1805" s="203" t="str">
        <f t="shared" si="54"/>
        <v/>
      </c>
    </row>
    <row r="1806" spans="1:6" ht="14.1" customHeight="1">
      <c r="A1806" s="14">
        <f t="shared" si="55"/>
        <v>1802</v>
      </c>
      <c r="B1806" s="18"/>
      <c r="C1806" s="16" t="s">
        <v>1679</v>
      </c>
      <c r="D1806" s="19"/>
      <c r="E1806" s="19"/>
      <c r="F1806" s="203" t="str">
        <f t="shared" si="54"/>
        <v/>
      </c>
    </row>
    <row r="1807" spans="1:6" ht="14.1" customHeight="1">
      <c r="A1807" s="14">
        <f t="shared" si="55"/>
        <v>1803</v>
      </c>
      <c r="B1807" s="18"/>
      <c r="C1807" s="16" t="s">
        <v>1679</v>
      </c>
      <c r="D1807" s="19"/>
      <c r="E1807" s="19"/>
      <c r="F1807" s="203" t="str">
        <f t="shared" si="54"/>
        <v/>
      </c>
    </row>
    <row r="1808" spans="1:6" ht="14.1" customHeight="1">
      <c r="A1808" s="14">
        <f t="shared" si="55"/>
        <v>1804</v>
      </c>
      <c r="B1808" s="18"/>
      <c r="C1808" s="16" t="s">
        <v>1679</v>
      </c>
      <c r="D1808" s="19"/>
      <c r="E1808" s="19"/>
      <c r="F1808" s="203" t="str">
        <f t="shared" si="54"/>
        <v/>
      </c>
    </row>
    <row r="1809" spans="1:6" ht="14.1" customHeight="1">
      <c r="A1809" s="14">
        <f t="shared" si="55"/>
        <v>1805</v>
      </c>
      <c r="B1809" s="18"/>
      <c r="C1809" s="16" t="s">
        <v>1679</v>
      </c>
      <c r="D1809" s="19"/>
      <c r="E1809" s="19"/>
      <c r="F1809" s="203" t="str">
        <f t="shared" si="54"/>
        <v/>
      </c>
    </row>
    <row r="1810" spans="1:6" ht="14.1" customHeight="1">
      <c r="A1810" s="14">
        <f t="shared" si="55"/>
        <v>1806</v>
      </c>
      <c r="B1810" s="18"/>
      <c r="C1810" s="16" t="s">
        <v>1679</v>
      </c>
      <c r="D1810" s="19"/>
      <c r="E1810" s="19"/>
      <c r="F1810" s="203" t="str">
        <f t="shared" si="54"/>
        <v/>
      </c>
    </row>
    <row r="1811" spans="1:6" ht="14.1" customHeight="1">
      <c r="A1811" s="14">
        <f t="shared" si="55"/>
        <v>1807</v>
      </c>
      <c r="B1811" s="18"/>
      <c r="C1811" s="16" t="s">
        <v>1679</v>
      </c>
      <c r="D1811" s="19"/>
      <c r="E1811" s="19"/>
      <c r="F1811" s="203" t="str">
        <f t="shared" si="54"/>
        <v/>
      </c>
    </row>
    <row r="1812" spans="1:6" ht="14.1" customHeight="1">
      <c r="A1812" s="14">
        <f t="shared" si="55"/>
        <v>1808</v>
      </c>
      <c r="B1812" s="18"/>
      <c r="C1812" s="16" t="s">
        <v>1679</v>
      </c>
      <c r="D1812" s="19"/>
      <c r="E1812" s="19"/>
      <c r="F1812" s="203" t="str">
        <f t="shared" si="54"/>
        <v/>
      </c>
    </row>
    <row r="1813" spans="1:6" ht="14.1" customHeight="1">
      <c r="A1813" s="14">
        <f t="shared" si="55"/>
        <v>1809</v>
      </c>
      <c r="B1813" s="18"/>
      <c r="C1813" s="16" t="s">
        <v>1679</v>
      </c>
      <c r="D1813" s="19"/>
      <c r="E1813" s="19"/>
      <c r="F1813" s="203" t="str">
        <f t="shared" si="54"/>
        <v/>
      </c>
    </row>
    <row r="1814" spans="1:6" ht="14.1" customHeight="1">
      <c r="A1814" s="14">
        <f t="shared" si="55"/>
        <v>1810</v>
      </c>
      <c r="B1814" s="18"/>
      <c r="C1814" s="16" t="s">
        <v>1679</v>
      </c>
      <c r="D1814" s="19"/>
      <c r="E1814" s="19"/>
      <c r="F1814" s="203" t="str">
        <f t="shared" si="54"/>
        <v/>
      </c>
    </row>
    <row r="1815" spans="1:6" ht="14.1" customHeight="1">
      <c r="A1815" s="14">
        <f t="shared" si="55"/>
        <v>1811</v>
      </c>
      <c r="B1815" s="18"/>
      <c r="C1815" s="16" t="s">
        <v>1679</v>
      </c>
      <c r="D1815" s="19"/>
      <c r="E1815" s="19"/>
      <c r="F1815" s="203" t="str">
        <f t="shared" si="54"/>
        <v/>
      </c>
    </row>
    <row r="1816" spans="1:6" ht="14.1" customHeight="1">
      <c r="A1816" s="14">
        <f t="shared" si="55"/>
        <v>1812</v>
      </c>
      <c r="B1816" s="18"/>
      <c r="C1816" s="16" t="s">
        <v>1679</v>
      </c>
      <c r="D1816" s="19"/>
      <c r="E1816" s="19"/>
      <c r="F1816" s="203" t="str">
        <f t="shared" si="54"/>
        <v/>
      </c>
    </row>
    <row r="1817" spans="1:6" ht="14.1" customHeight="1">
      <c r="A1817" s="14">
        <f t="shared" si="55"/>
        <v>1813</v>
      </c>
      <c r="B1817" s="18"/>
      <c r="C1817" s="16" t="s">
        <v>1679</v>
      </c>
      <c r="D1817" s="19"/>
      <c r="E1817" s="19"/>
      <c r="F1817" s="203" t="str">
        <f t="shared" si="54"/>
        <v/>
      </c>
    </row>
    <row r="1818" spans="1:6" ht="14.1" customHeight="1">
      <c r="A1818" s="14">
        <f t="shared" si="55"/>
        <v>1814</v>
      </c>
      <c r="B1818" s="18"/>
      <c r="C1818" s="16" t="s">
        <v>1679</v>
      </c>
      <c r="D1818" s="19"/>
      <c r="E1818" s="19"/>
      <c r="F1818" s="203" t="str">
        <f t="shared" si="54"/>
        <v/>
      </c>
    </row>
    <row r="1819" spans="1:6" ht="14.1" customHeight="1">
      <c r="A1819" s="14">
        <f t="shared" si="55"/>
        <v>1815</v>
      </c>
      <c r="B1819" s="18"/>
      <c r="C1819" s="16" t="s">
        <v>1679</v>
      </c>
      <c r="D1819" s="19"/>
      <c r="E1819" s="19"/>
      <c r="F1819" s="203" t="str">
        <f t="shared" si="54"/>
        <v/>
      </c>
    </row>
    <row r="1820" spans="1:6" ht="14.1" customHeight="1">
      <c r="A1820" s="14">
        <f t="shared" si="55"/>
        <v>1816</v>
      </c>
      <c r="B1820" s="18"/>
      <c r="C1820" s="16" t="s">
        <v>1679</v>
      </c>
      <c r="D1820" s="19"/>
      <c r="E1820" s="19"/>
      <c r="F1820" s="203" t="str">
        <f t="shared" si="54"/>
        <v/>
      </c>
    </row>
    <row r="1821" spans="1:6" ht="14.1" customHeight="1">
      <c r="A1821" s="14">
        <f t="shared" si="55"/>
        <v>1817</v>
      </c>
      <c r="B1821" s="18"/>
      <c r="C1821" s="16" t="s">
        <v>1679</v>
      </c>
      <c r="D1821" s="19"/>
      <c r="E1821" s="19"/>
      <c r="F1821" s="203" t="str">
        <f t="shared" si="54"/>
        <v/>
      </c>
    </row>
    <row r="1822" spans="1:6" ht="14.1" customHeight="1">
      <c r="A1822" s="14">
        <f t="shared" si="55"/>
        <v>1818</v>
      </c>
      <c r="B1822" s="18"/>
      <c r="C1822" s="16" t="s">
        <v>1679</v>
      </c>
      <c r="D1822" s="19"/>
      <c r="E1822" s="19"/>
      <c r="F1822" s="203" t="str">
        <f t="shared" si="54"/>
        <v/>
      </c>
    </row>
    <row r="1823" spans="1:6" ht="14.1" customHeight="1">
      <c r="A1823" s="14">
        <f t="shared" si="55"/>
        <v>1819</v>
      </c>
      <c r="B1823" s="18"/>
      <c r="C1823" s="16" t="s">
        <v>1679</v>
      </c>
      <c r="D1823" s="19"/>
      <c r="E1823" s="19"/>
      <c r="F1823" s="203" t="str">
        <f t="shared" si="54"/>
        <v/>
      </c>
    </row>
    <row r="1824" spans="1:6" ht="14.1" customHeight="1">
      <c r="A1824" s="14">
        <f t="shared" si="55"/>
        <v>1820</v>
      </c>
      <c r="B1824" s="18"/>
      <c r="C1824" s="16" t="s">
        <v>1679</v>
      </c>
      <c r="D1824" s="19"/>
      <c r="E1824" s="19"/>
      <c r="F1824" s="203" t="str">
        <f t="shared" si="54"/>
        <v/>
      </c>
    </row>
    <row r="1825" spans="1:6" ht="14.1" customHeight="1">
      <c r="A1825" s="14">
        <f t="shared" si="55"/>
        <v>1821</v>
      </c>
      <c r="B1825" s="18"/>
      <c r="C1825" s="16" t="s">
        <v>1679</v>
      </c>
      <c r="D1825" s="19"/>
      <c r="E1825" s="19"/>
      <c r="F1825" s="203" t="str">
        <f t="shared" si="54"/>
        <v/>
      </c>
    </row>
    <row r="1826" spans="1:6" ht="14.1" customHeight="1">
      <c r="A1826" s="14">
        <f t="shared" si="55"/>
        <v>1822</v>
      </c>
      <c r="B1826" s="18"/>
      <c r="C1826" s="16" t="s">
        <v>1679</v>
      </c>
      <c r="D1826" s="19"/>
      <c r="E1826" s="19"/>
      <c r="F1826" s="203" t="str">
        <f t="shared" si="54"/>
        <v/>
      </c>
    </row>
    <row r="1827" spans="1:6" ht="14.1" customHeight="1">
      <c r="A1827" s="14">
        <f t="shared" si="55"/>
        <v>1823</v>
      </c>
      <c r="B1827" s="18"/>
      <c r="C1827" s="16" t="s">
        <v>1679</v>
      </c>
      <c r="D1827" s="19"/>
      <c r="E1827" s="19"/>
      <c r="F1827" s="203" t="str">
        <f t="shared" si="54"/>
        <v/>
      </c>
    </row>
    <row r="1828" spans="1:6" ht="14.1" customHeight="1">
      <c r="A1828" s="14">
        <f t="shared" si="55"/>
        <v>1824</v>
      </c>
      <c r="B1828" s="18"/>
      <c r="C1828" s="16" t="s">
        <v>1679</v>
      </c>
      <c r="D1828" s="19"/>
      <c r="E1828" s="19"/>
      <c r="F1828" s="203" t="str">
        <f t="shared" si="54"/>
        <v/>
      </c>
    </row>
    <row r="1829" spans="1:6" ht="14.1" customHeight="1">
      <c r="A1829" s="14">
        <f t="shared" si="55"/>
        <v>1825</v>
      </c>
      <c r="B1829" s="18"/>
      <c r="C1829" s="16" t="s">
        <v>1679</v>
      </c>
      <c r="D1829" s="19"/>
      <c r="E1829" s="19"/>
      <c r="F1829" s="203" t="str">
        <f t="shared" si="54"/>
        <v/>
      </c>
    </row>
    <row r="1830" spans="1:6" ht="14.1" customHeight="1">
      <c r="A1830" s="14">
        <f t="shared" si="55"/>
        <v>1826</v>
      </c>
      <c r="B1830" s="18"/>
      <c r="C1830" s="16" t="s">
        <v>1679</v>
      </c>
      <c r="D1830" s="19"/>
      <c r="E1830" s="19"/>
      <c r="F1830" s="203" t="str">
        <f t="shared" si="54"/>
        <v/>
      </c>
    </row>
    <row r="1831" spans="1:6" ht="14.1" customHeight="1">
      <c r="A1831" s="14">
        <f t="shared" si="55"/>
        <v>1827</v>
      </c>
      <c r="B1831" s="18"/>
      <c r="C1831" s="16" t="s">
        <v>1679</v>
      </c>
      <c r="D1831" s="19"/>
      <c r="E1831" s="19"/>
      <c r="F1831" s="203" t="str">
        <f t="shared" si="54"/>
        <v/>
      </c>
    </row>
    <row r="1832" spans="1:6" ht="14.1" customHeight="1">
      <c r="A1832" s="14">
        <f t="shared" si="55"/>
        <v>1828</v>
      </c>
      <c r="B1832" s="18"/>
      <c r="C1832" s="16" t="s">
        <v>1679</v>
      </c>
      <c r="D1832" s="19"/>
      <c r="E1832" s="19"/>
      <c r="F1832" s="203" t="str">
        <f t="shared" si="54"/>
        <v/>
      </c>
    </row>
    <row r="1833" spans="1:6" ht="14.1" customHeight="1">
      <c r="A1833" s="14">
        <f t="shared" si="55"/>
        <v>1829</v>
      </c>
      <c r="B1833" s="18"/>
      <c r="C1833" s="16" t="s">
        <v>1679</v>
      </c>
      <c r="D1833" s="19"/>
      <c r="E1833" s="19"/>
      <c r="F1833" s="203" t="str">
        <f t="shared" si="54"/>
        <v/>
      </c>
    </row>
    <row r="1834" spans="1:6" ht="14.1" customHeight="1">
      <c r="A1834" s="14">
        <f t="shared" si="55"/>
        <v>1830</v>
      </c>
      <c r="B1834" s="18"/>
      <c r="C1834" s="16" t="s">
        <v>1679</v>
      </c>
      <c r="D1834" s="19"/>
      <c r="E1834" s="19"/>
      <c r="F1834" s="203" t="str">
        <f t="shared" ref="F1834:F1897" si="56">IF(AND(B1835&lt;&gt;"",B1834=""),"Don't skip lines",IF(AND(D1834="",B1834&lt;&gt;""),"Enter U-value",IF(AND(D1834&lt;&gt;"",B1834=""),"Enter Description","")))</f>
        <v/>
      </c>
    </row>
    <row r="1835" spans="1:6" ht="14.1" customHeight="1">
      <c r="A1835" s="14">
        <f t="shared" si="55"/>
        <v>1831</v>
      </c>
      <c r="B1835" s="18"/>
      <c r="C1835" s="16" t="s">
        <v>1679</v>
      </c>
      <c r="D1835" s="19"/>
      <c r="E1835" s="19"/>
      <c r="F1835" s="203" t="str">
        <f t="shared" si="56"/>
        <v/>
      </c>
    </row>
    <row r="1836" spans="1:6" ht="14.1" customHeight="1">
      <c r="A1836" s="14">
        <f t="shared" si="55"/>
        <v>1832</v>
      </c>
      <c r="B1836" s="18"/>
      <c r="C1836" s="16" t="s">
        <v>1679</v>
      </c>
      <c r="D1836" s="19"/>
      <c r="E1836" s="19"/>
      <c r="F1836" s="203" t="str">
        <f t="shared" si="56"/>
        <v/>
      </c>
    </row>
    <row r="1837" spans="1:6" ht="14.1" customHeight="1">
      <c r="A1837" s="14">
        <f t="shared" si="55"/>
        <v>1833</v>
      </c>
      <c r="B1837" s="18"/>
      <c r="C1837" s="16" t="s">
        <v>1679</v>
      </c>
      <c r="D1837" s="19"/>
      <c r="E1837" s="19"/>
      <c r="F1837" s="203" t="str">
        <f t="shared" si="56"/>
        <v/>
      </c>
    </row>
    <row r="1838" spans="1:6" ht="14.1" customHeight="1">
      <c r="A1838" s="14">
        <f t="shared" si="55"/>
        <v>1834</v>
      </c>
      <c r="B1838" s="18"/>
      <c r="C1838" s="16" t="s">
        <v>1679</v>
      </c>
      <c r="D1838" s="19"/>
      <c r="E1838" s="19"/>
      <c r="F1838" s="203" t="str">
        <f t="shared" si="56"/>
        <v/>
      </c>
    </row>
    <row r="1839" spans="1:6" ht="14.1" customHeight="1">
      <c r="A1839" s="14">
        <f t="shared" si="55"/>
        <v>1835</v>
      </c>
      <c r="B1839" s="18"/>
      <c r="C1839" s="16" t="s">
        <v>1679</v>
      </c>
      <c r="D1839" s="19"/>
      <c r="E1839" s="19"/>
      <c r="F1839" s="203" t="str">
        <f t="shared" si="56"/>
        <v/>
      </c>
    </row>
    <row r="1840" spans="1:6" ht="14.1" customHeight="1">
      <c r="A1840" s="14">
        <f t="shared" si="55"/>
        <v>1836</v>
      </c>
      <c r="B1840" s="18"/>
      <c r="C1840" s="16" t="s">
        <v>1679</v>
      </c>
      <c r="D1840" s="19"/>
      <c r="E1840" s="19"/>
      <c r="F1840" s="203" t="str">
        <f t="shared" si="56"/>
        <v/>
      </c>
    </row>
    <row r="1841" spans="1:6" ht="14.1" customHeight="1">
      <c r="A1841" s="14">
        <f t="shared" si="55"/>
        <v>1837</v>
      </c>
      <c r="B1841" s="18"/>
      <c r="C1841" s="16" t="s">
        <v>1679</v>
      </c>
      <c r="D1841" s="19"/>
      <c r="E1841" s="19"/>
      <c r="F1841" s="203" t="str">
        <f t="shared" si="56"/>
        <v/>
      </c>
    </row>
    <row r="1842" spans="1:6" ht="14.1" customHeight="1">
      <c r="A1842" s="14">
        <f t="shared" si="55"/>
        <v>1838</v>
      </c>
      <c r="B1842" s="18"/>
      <c r="C1842" s="16" t="s">
        <v>1679</v>
      </c>
      <c r="D1842" s="19"/>
      <c r="E1842" s="19"/>
      <c r="F1842" s="203" t="str">
        <f t="shared" si="56"/>
        <v/>
      </c>
    </row>
    <row r="1843" spans="1:6" ht="14.1" customHeight="1">
      <c r="A1843" s="14">
        <f t="shared" si="55"/>
        <v>1839</v>
      </c>
      <c r="B1843" s="18"/>
      <c r="C1843" s="16" t="s">
        <v>1679</v>
      </c>
      <c r="D1843" s="19"/>
      <c r="E1843" s="19"/>
      <c r="F1843" s="203" t="str">
        <f t="shared" si="56"/>
        <v/>
      </c>
    </row>
    <row r="1844" spans="1:6" ht="14.1" customHeight="1">
      <c r="A1844" s="14">
        <f t="shared" si="55"/>
        <v>1840</v>
      </c>
      <c r="B1844" s="18"/>
      <c r="C1844" s="16" t="s">
        <v>1679</v>
      </c>
      <c r="D1844" s="19"/>
      <c r="E1844" s="19"/>
      <c r="F1844" s="203" t="str">
        <f t="shared" si="56"/>
        <v/>
      </c>
    </row>
    <row r="1845" spans="1:6" ht="14.1" customHeight="1">
      <c r="A1845" s="14">
        <f t="shared" si="55"/>
        <v>1841</v>
      </c>
      <c r="B1845" s="18"/>
      <c r="C1845" s="16" t="s">
        <v>1679</v>
      </c>
      <c r="D1845" s="19"/>
      <c r="E1845" s="19"/>
      <c r="F1845" s="203" t="str">
        <f t="shared" si="56"/>
        <v/>
      </c>
    </row>
    <row r="1846" spans="1:6" ht="14.1" customHeight="1">
      <c r="A1846" s="14">
        <f t="shared" si="55"/>
        <v>1842</v>
      </c>
      <c r="B1846" s="18"/>
      <c r="C1846" s="16" t="s">
        <v>1679</v>
      </c>
      <c r="D1846" s="19"/>
      <c r="E1846" s="19"/>
      <c r="F1846" s="203" t="str">
        <f t="shared" si="56"/>
        <v/>
      </c>
    </row>
    <row r="1847" spans="1:6" ht="14.1" customHeight="1">
      <c r="A1847" s="14">
        <f t="shared" si="55"/>
        <v>1843</v>
      </c>
      <c r="B1847" s="18"/>
      <c r="C1847" s="16" t="s">
        <v>1679</v>
      </c>
      <c r="D1847" s="19"/>
      <c r="E1847" s="19"/>
      <c r="F1847" s="203" t="str">
        <f t="shared" si="56"/>
        <v/>
      </c>
    </row>
    <row r="1848" spans="1:6" ht="14.1" customHeight="1">
      <c r="A1848" s="14">
        <f t="shared" si="55"/>
        <v>1844</v>
      </c>
      <c r="B1848" s="18"/>
      <c r="C1848" s="16" t="s">
        <v>1679</v>
      </c>
      <c r="D1848" s="19"/>
      <c r="E1848" s="19"/>
      <c r="F1848" s="203" t="str">
        <f t="shared" si="56"/>
        <v/>
      </c>
    </row>
    <row r="1849" spans="1:6" ht="14.1" customHeight="1">
      <c r="A1849" s="14">
        <f t="shared" si="55"/>
        <v>1845</v>
      </c>
      <c r="B1849" s="18"/>
      <c r="C1849" s="16" t="s">
        <v>1679</v>
      </c>
      <c r="D1849" s="19"/>
      <c r="E1849" s="19"/>
      <c r="F1849" s="203" t="str">
        <f t="shared" si="56"/>
        <v/>
      </c>
    </row>
    <row r="1850" spans="1:6" ht="14.1" customHeight="1">
      <c r="A1850" s="14">
        <f t="shared" si="55"/>
        <v>1846</v>
      </c>
      <c r="B1850" s="18"/>
      <c r="C1850" s="16" t="s">
        <v>1679</v>
      </c>
      <c r="D1850" s="19"/>
      <c r="E1850" s="19"/>
      <c r="F1850" s="203" t="str">
        <f t="shared" si="56"/>
        <v/>
      </c>
    </row>
    <row r="1851" spans="1:6" ht="14.1" customHeight="1">
      <c r="A1851" s="14">
        <f t="shared" si="55"/>
        <v>1847</v>
      </c>
      <c r="B1851" s="18"/>
      <c r="C1851" s="16" t="s">
        <v>1679</v>
      </c>
      <c r="D1851" s="19"/>
      <c r="E1851" s="19"/>
      <c r="F1851" s="203" t="str">
        <f t="shared" si="56"/>
        <v/>
      </c>
    </row>
    <row r="1852" spans="1:6" ht="14.1" customHeight="1">
      <c r="A1852" s="14">
        <f t="shared" si="55"/>
        <v>1848</v>
      </c>
      <c r="B1852" s="18"/>
      <c r="C1852" s="16" t="s">
        <v>1679</v>
      </c>
      <c r="D1852" s="19"/>
      <c r="E1852" s="19"/>
      <c r="F1852" s="203" t="str">
        <f t="shared" si="56"/>
        <v/>
      </c>
    </row>
    <row r="1853" spans="1:6" ht="14.1" customHeight="1">
      <c r="A1853" s="14">
        <f t="shared" si="55"/>
        <v>1849</v>
      </c>
      <c r="B1853" s="18"/>
      <c r="C1853" s="16" t="s">
        <v>1679</v>
      </c>
      <c r="D1853" s="19"/>
      <c r="E1853" s="19"/>
      <c r="F1853" s="203" t="str">
        <f t="shared" si="56"/>
        <v/>
      </c>
    </row>
    <row r="1854" spans="1:6" ht="14.1" customHeight="1">
      <c r="A1854" s="14">
        <f t="shared" si="55"/>
        <v>1850</v>
      </c>
      <c r="B1854" s="18"/>
      <c r="C1854" s="16" t="s">
        <v>1679</v>
      </c>
      <c r="D1854" s="19"/>
      <c r="E1854" s="19"/>
      <c r="F1854" s="203" t="str">
        <f t="shared" si="56"/>
        <v/>
      </c>
    </row>
    <row r="1855" spans="1:6" ht="14.1" customHeight="1">
      <c r="A1855" s="14">
        <f t="shared" si="55"/>
        <v>1851</v>
      </c>
      <c r="B1855" s="18"/>
      <c r="C1855" s="16" t="s">
        <v>1679</v>
      </c>
      <c r="D1855" s="19"/>
      <c r="E1855" s="19"/>
      <c r="F1855" s="203" t="str">
        <f t="shared" si="56"/>
        <v/>
      </c>
    </row>
    <row r="1856" spans="1:6" ht="14.1" customHeight="1">
      <c r="A1856" s="14">
        <f t="shared" si="55"/>
        <v>1852</v>
      </c>
      <c r="B1856" s="18"/>
      <c r="C1856" s="16" t="s">
        <v>1679</v>
      </c>
      <c r="D1856" s="19"/>
      <c r="E1856" s="19"/>
      <c r="F1856" s="203" t="str">
        <f t="shared" si="56"/>
        <v/>
      </c>
    </row>
    <row r="1857" spans="1:6" ht="14.1" customHeight="1">
      <c r="A1857" s="14">
        <f t="shared" si="55"/>
        <v>1853</v>
      </c>
      <c r="B1857" s="18"/>
      <c r="C1857" s="16" t="s">
        <v>1679</v>
      </c>
      <c r="D1857" s="19"/>
      <c r="E1857" s="19"/>
      <c r="F1857" s="203" t="str">
        <f t="shared" si="56"/>
        <v/>
      </c>
    </row>
    <row r="1858" spans="1:6" ht="14.1" customHeight="1">
      <c r="A1858" s="14">
        <f t="shared" si="55"/>
        <v>1854</v>
      </c>
      <c r="B1858" s="18"/>
      <c r="C1858" s="16" t="s">
        <v>1679</v>
      </c>
      <c r="D1858" s="19"/>
      <c r="E1858" s="19"/>
      <c r="F1858" s="203" t="str">
        <f t="shared" si="56"/>
        <v/>
      </c>
    </row>
    <row r="1859" spans="1:6" ht="14.1" customHeight="1">
      <c r="A1859" s="14">
        <f t="shared" ref="A1859:A1922" si="57">A1858+1</f>
        <v>1855</v>
      </c>
      <c r="B1859" s="18"/>
      <c r="C1859" s="16" t="s">
        <v>1679</v>
      </c>
      <c r="D1859" s="19"/>
      <c r="E1859" s="19"/>
      <c r="F1859" s="203" t="str">
        <f t="shared" si="56"/>
        <v/>
      </c>
    </row>
    <row r="1860" spans="1:6" ht="14.1" customHeight="1">
      <c r="A1860" s="14">
        <f t="shared" si="57"/>
        <v>1856</v>
      </c>
      <c r="B1860" s="18"/>
      <c r="C1860" s="16" t="s">
        <v>1679</v>
      </c>
      <c r="D1860" s="19"/>
      <c r="E1860" s="19"/>
      <c r="F1860" s="203" t="str">
        <f t="shared" si="56"/>
        <v/>
      </c>
    </row>
    <row r="1861" spans="1:6" ht="14.1" customHeight="1">
      <c r="A1861" s="14">
        <f t="shared" si="57"/>
        <v>1857</v>
      </c>
      <c r="B1861" s="18"/>
      <c r="C1861" s="16" t="s">
        <v>1679</v>
      </c>
      <c r="D1861" s="19"/>
      <c r="E1861" s="19"/>
      <c r="F1861" s="203" t="str">
        <f t="shared" si="56"/>
        <v/>
      </c>
    </row>
    <row r="1862" spans="1:6" ht="14.1" customHeight="1">
      <c r="A1862" s="14">
        <f t="shared" si="57"/>
        <v>1858</v>
      </c>
      <c r="B1862" s="18"/>
      <c r="C1862" s="16" t="s">
        <v>1679</v>
      </c>
      <c r="D1862" s="19"/>
      <c r="E1862" s="19"/>
      <c r="F1862" s="203" t="str">
        <f t="shared" si="56"/>
        <v/>
      </c>
    </row>
    <row r="1863" spans="1:6" ht="14.1" customHeight="1">
      <c r="A1863" s="14">
        <f t="shared" si="57"/>
        <v>1859</v>
      </c>
      <c r="B1863" s="18"/>
      <c r="C1863" s="16" t="s">
        <v>1679</v>
      </c>
      <c r="D1863" s="19"/>
      <c r="E1863" s="19"/>
      <c r="F1863" s="203" t="str">
        <f t="shared" si="56"/>
        <v/>
      </c>
    </row>
    <row r="1864" spans="1:6" ht="14.1" customHeight="1">
      <c r="A1864" s="14">
        <f t="shared" si="57"/>
        <v>1860</v>
      </c>
      <c r="B1864" s="18"/>
      <c r="C1864" s="16" t="s">
        <v>1679</v>
      </c>
      <c r="D1864" s="19"/>
      <c r="E1864" s="19"/>
      <c r="F1864" s="203" t="str">
        <f t="shared" si="56"/>
        <v/>
      </c>
    </row>
    <row r="1865" spans="1:6" ht="14.1" customHeight="1">
      <c r="A1865" s="14">
        <f t="shared" si="57"/>
        <v>1861</v>
      </c>
      <c r="B1865" s="18"/>
      <c r="C1865" s="16" t="s">
        <v>1679</v>
      </c>
      <c r="D1865" s="19"/>
      <c r="E1865" s="19"/>
      <c r="F1865" s="203" t="str">
        <f t="shared" si="56"/>
        <v/>
      </c>
    </row>
    <row r="1866" spans="1:6" ht="14.1" customHeight="1">
      <c r="A1866" s="14">
        <f t="shared" si="57"/>
        <v>1862</v>
      </c>
      <c r="B1866" s="18"/>
      <c r="C1866" s="16" t="s">
        <v>1679</v>
      </c>
      <c r="D1866" s="19"/>
      <c r="E1866" s="19"/>
      <c r="F1866" s="203" t="str">
        <f t="shared" si="56"/>
        <v/>
      </c>
    </row>
    <row r="1867" spans="1:6" ht="14.1" customHeight="1">
      <c r="A1867" s="14">
        <f t="shared" si="57"/>
        <v>1863</v>
      </c>
      <c r="B1867" s="18"/>
      <c r="C1867" s="16" t="s">
        <v>1679</v>
      </c>
      <c r="D1867" s="19"/>
      <c r="E1867" s="19"/>
      <c r="F1867" s="203" t="str">
        <f t="shared" si="56"/>
        <v/>
      </c>
    </row>
    <row r="1868" spans="1:6" ht="14.1" customHeight="1">
      <c r="A1868" s="14">
        <f t="shared" si="57"/>
        <v>1864</v>
      </c>
      <c r="B1868" s="18"/>
      <c r="C1868" s="16" t="s">
        <v>1679</v>
      </c>
      <c r="D1868" s="19"/>
      <c r="E1868" s="19"/>
      <c r="F1868" s="203" t="str">
        <f t="shared" si="56"/>
        <v/>
      </c>
    </row>
    <row r="1869" spans="1:6" ht="14.1" customHeight="1">
      <c r="A1869" s="14">
        <f t="shared" si="57"/>
        <v>1865</v>
      </c>
      <c r="B1869" s="18"/>
      <c r="C1869" s="16" t="s">
        <v>1679</v>
      </c>
      <c r="D1869" s="19"/>
      <c r="E1869" s="19"/>
      <c r="F1869" s="203" t="str">
        <f t="shared" si="56"/>
        <v/>
      </c>
    </row>
    <row r="1870" spans="1:6" ht="14.1" customHeight="1">
      <c r="A1870" s="14">
        <f t="shared" si="57"/>
        <v>1866</v>
      </c>
      <c r="B1870" s="18"/>
      <c r="C1870" s="16" t="s">
        <v>1679</v>
      </c>
      <c r="D1870" s="19"/>
      <c r="E1870" s="19"/>
      <c r="F1870" s="203" t="str">
        <f t="shared" si="56"/>
        <v/>
      </c>
    </row>
    <row r="1871" spans="1:6" ht="14.1" customHeight="1">
      <c r="A1871" s="14">
        <f t="shared" si="57"/>
        <v>1867</v>
      </c>
      <c r="B1871" s="18"/>
      <c r="C1871" s="16" t="s">
        <v>1679</v>
      </c>
      <c r="D1871" s="19"/>
      <c r="E1871" s="19"/>
      <c r="F1871" s="203" t="str">
        <f t="shared" si="56"/>
        <v/>
      </c>
    </row>
    <row r="1872" spans="1:6" ht="14.1" customHeight="1">
      <c r="A1872" s="14">
        <f t="shared" si="57"/>
        <v>1868</v>
      </c>
      <c r="B1872" s="18"/>
      <c r="C1872" s="16" t="s">
        <v>1679</v>
      </c>
      <c r="D1872" s="19"/>
      <c r="E1872" s="19"/>
      <c r="F1872" s="203" t="str">
        <f t="shared" si="56"/>
        <v/>
      </c>
    </row>
    <row r="1873" spans="1:6" ht="14.1" customHeight="1">
      <c r="A1873" s="14">
        <f t="shared" si="57"/>
        <v>1869</v>
      </c>
      <c r="B1873" s="18"/>
      <c r="C1873" s="16" t="s">
        <v>1679</v>
      </c>
      <c r="D1873" s="19"/>
      <c r="E1873" s="19"/>
      <c r="F1873" s="203" t="str">
        <f t="shared" si="56"/>
        <v/>
      </c>
    </row>
    <row r="1874" spans="1:6" ht="14.1" customHeight="1">
      <c r="A1874" s="14">
        <f t="shared" si="57"/>
        <v>1870</v>
      </c>
      <c r="B1874" s="18"/>
      <c r="C1874" s="16" t="s">
        <v>1679</v>
      </c>
      <c r="D1874" s="19"/>
      <c r="E1874" s="19"/>
      <c r="F1874" s="203" t="str">
        <f t="shared" si="56"/>
        <v/>
      </c>
    </row>
    <row r="1875" spans="1:6" ht="14.1" customHeight="1">
      <c r="A1875" s="14">
        <f t="shared" si="57"/>
        <v>1871</v>
      </c>
      <c r="B1875" s="18"/>
      <c r="C1875" s="16" t="s">
        <v>1679</v>
      </c>
      <c r="D1875" s="19"/>
      <c r="E1875" s="19"/>
      <c r="F1875" s="203" t="str">
        <f t="shared" si="56"/>
        <v/>
      </c>
    </row>
    <row r="1876" spans="1:6" ht="14.1" customHeight="1">
      <c r="A1876" s="14">
        <f t="shared" si="57"/>
        <v>1872</v>
      </c>
      <c r="B1876" s="18"/>
      <c r="C1876" s="16" t="s">
        <v>1679</v>
      </c>
      <c r="D1876" s="19"/>
      <c r="E1876" s="19"/>
      <c r="F1876" s="203" t="str">
        <f t="shared" si="56"/>
        <v/>
      </c>
    </row>
    <row r="1877" spans="1:6" ht="14.1" customHeight="1">
      <c r="A1877" s="14">
        <f t="shared" si="57"/>
        <v>1873</v>
      </c>
      <c r="B1877" s="18"/>
      <c r="C1877" s="16" t="s">
        <v>1679</v>
      </c>
      <c r="D1877" s="19"/>
      <c r="E1877" s="19"/>
      <c r="F1877" s="203" t="str">
        <f t="shared" si="56"/>
        <v/>
      </c>
    </row>
    <row r="1878" spans="1:6" ht="14.1" customHeight="1">
      <c r="A1878" s="14">
        <f t="shared" si="57"/>
        <v>1874</v>
      </c>
      <c r="B1878" s="18"/>
      <c r="C1878" s="16" t="s">
        <v>1679</v>
      </c>
      <c r="D1878" s="19"/>
      <c r="E1878" s="19"/>
      <c r="F1878" s="203" t="str">
        <f t="shared" si="56"/>
        <v/>
      </c>
    </row>
    <row r="1879" spans="1:6" ht="14.1" customHeight="1">
      <c r="A1879" s="14">
        <f t="shared" si="57"/>
        <v>1875</v>
      </c>
      <c r="B1879" s="18"/>
      <c r="C1879" s="16" t="s">
        <v>1679</v>
      </c>
      <c r="D1879" s="19"/>
      <c r="E1879" s="19"/>
      <c r="F1879" s="203" t="str">
        <f t="shared" si="56"/>
        <v/>
      </c>
    </row>
    <row r="1880" spans="1:6" ht="14.1" customHeight="1">
      <c r="A1880" s="14">
        <f t="shared" si="57"/>
        <v>1876</v>
      </c>
      <c r="B1880" s="18"/>
      <c r="C1880" s="16" t="s">
        <v>1679</v>
      </c>
      <c r="D1880" s="19"/>
      <c r="E1880" s="19"/>
      <c r="F1880" s="203" t="str">
        <f t="shared" si="56"/>
        <v/>
      </c>
    </row>
    <row r="1881" spans="1:6" ht="14.1" customHeight="1">
      <c r="A1881" s="14">
        <f t="shared" si="57"/>
        <v>1877</v>
      </c>
      <c r="B1881" s="18"/>
      <c r="C1881" s="16" t="s">
        <v>1679</v>
      </c>
      <c r="D1881" s="19"/>
      <c r="E1881" s="19"/>
      <c r="F1881" s="203" t="str">
        <f t="shared" si="56"/>
        <v/>
      </c>
    </row>
    <row r="1882" spans="1:6" ht="14.1" customHeight="1">
      <c r="A1882" s="14">
        <f t="shared" si="57"/>
        <v>1878</v>
      </c>
      <c r="B1882" s="18"/>
      <c r="C1882" s="16" t="s">
        <v>1679</v>
      </c>
      <c r="D1882" s="19"/>
      <c r="E1882" s="19"/>
      <c r="F1882" s="203" t="str">
        <f t="shared" si="56"/>
        <v/>
      </c>
    </row>
    <row r="1883" spans="1:6" ht="14.1" customHeight="1">
      <c r="A1883" s="14">
        <f t="shared" si="57"/>
        <v>1879</v>
      </c>
      <c r="B1883" s="18"/>
      <c r="C1883" s="16" t="s">
        <v>1679</v>
      </c>
      <c r="D1883" s="19"/>
      <c r="E1883" s="19"/>
      <c r="F1883" s="203" t="str">
        <f t="shared" si="56"/>
        <v/>
      </c>
    </row>
    <row r="1884" spans="1:6" ht="14.1" customHeight="1">
      <c r="A1884" s="14">
        <f t="shared" si="57"/>
        <v>1880</v>
      </c>
      <c r="B1884" s="18"/>
      <c r="C1884" s="16" t="s">
        <v>1679</v>
      </c>
      <c r="D1884" s="19"/>
      <c r="E1884" s="19"/>
      <c r="F1884" s="203" t="str">
        <f t="shared" si="56"/>
        <v/>
      </c>
    </row>
    <row r="1885" spans="1:6" ht="14.1" customHeight="1">
      <c r="A1885" s="14">
        <f t="shared" si="57"/>
        <v>1881</v>
      </c>
      <c r="B1885" s="18"/>
      <c r="C1885" s="16" t="s">
        <v>1679</v>
      </c>
      <c r="D1885" s="19"/>
      <c r="E1885" s="19"/>
      <c r="F1885" s="203" t="str">
        <f t="shared" si="56"/>
        <v/>
      </c>
    </row>
    <row r="1886" spans="1:6" ht="14.1" customHeight="1">
      <c r="A1886" s="14">
        <f t="shared" si="57"/>
        <v>1882</v>
      </c>
      <c r="B1886" s="18"/>
      <c r="C1886" s="16" t="s">
        <v>1679</v>
      </c>
      <c r="D1886" s="19"/>
      <c r="E1886" s="19"/>
      <c r="F1886" s="203" t="str">
        <f t="shared" si="56"/>
        <v/>
      </c>
    </row>
    <row r="1887" spans="1:6" ht="14.1" customHeight="1">
      <c r="A1887" s="14">
        <f t="shared" si="57"/>
        <v>1883</v>
      </c>
      <c r="B1887" s="18"/>
      <c r="C1887" s="16" t="s">
        <v>1679</v>
      </c>
      <c r="D1887" s="19"/>
      <c r="E1887" s="19"/>
      <c r="F1887" s="203" t="str">
        <f t="shared" si="56"/>
        <v/>
      </c>
    </row>
    <row r="1888" spans="1:6" ht="14.1" customHeight="1">
      <c r="A1888" s="14">
        <f t="shared" si="57"/>
        <v>1884</v>
      </c>
      <c r="B1888" s="18"/>
      <c r="C1888" s="16" t="s">
        <v>1679</v>
      </c>
      <c r="D1888" s="19"/>
      <c r="E1888" s="19"/>
      <c r="F1888" s="203" t="str">
        <f t="shared" si="56"/>
        <v/>
      </c>
    </row>
    <row r="1889" spans="1:6" ht="14.1" customHeight="1">
      <c r="A1889" s="14">
        <f t="shared" si="57"/>
        <v>1885</v>
      </c>
      <c r="B1889" s="18"/>
      <c r="C1889" s="16" t="s">
        <v>1679</v>
      </c>
      <c r="D1889" s="19"/>
      <c r="E1889" s="19"/>
      <c r="F1889" s="203" t="str">
        <f t="shared" si="56"/>
        <v/>
      </c>
    </row>
    <row r="1890" spans="1:6" ht="14.1" customHeight="1">
      <c r="A1890" s="14">
        <f t="shared" si="57"/>
        <v>1886</v>
      </c>
      <c r="B1890" s="18"/>
      <c r="C1890" s="16" t="s">
        <v>1679</v>
      </c>
      <c r="D1890" s="19"/>
      <c r="E1890" s="19"/>
      <c r="F1890" s="203" t="str">
        <f t="shared" si="56"/>
        <v/>
      </c>
    </row>
    <row r="1891" spans="1:6" ht="14.1" customHeight="1">
      <c r="A1891" s="14">
        <f t="shared" si="57"/>
        <v>1887</v>
      </c>
      <c r="B1891" s="18"/>
      <c r="C1891" s="16" t="s">
        <v>1679</v>
      </c>
      <c r="D1891" s="19"/>
      <c r="E1891" s="19"/>
      <c r="F1891" s="203" t="str">
        <f t="shared" si="56"/>
        <v/>
      </c>
    </row>
    <row r="1892" spans="1:6" ht="14.1" customHeight="1">
      <c r="A1892" s="14">
        <f t="shared" si="57"/>
        <v>1888</v>
      </c>
      <c r="B1892" s="18"/>
      <c r="C1892" s="16" t="s">
        <v>1679</v>
      </c>
      <c r="D1892" s="19"/>
      <c r="E1892" s="19"/>
      <c r="F1892" s="203" t="str">
        <f t="shared" si="56"/>
        <v/>
      </c>
    </row>
    <row r="1893" spans="1:6" ht="14.1" customHeight="1">
      <c r="A1893" s="14">
        <f t="shared" si="57"/>
        <v>1889</v>
      </c>
      <c r="B1893" s="18"/>
      <c r="C1893" s="16" t="s">
        <v>1679</v>
      </c>
      <c r="D1893" s="19"/>
      <c r="E1893" s="19"/>
      <c r="F1893" s="203" t="str">
        <f t="shared" si="56"/>
        <v/>
      </c>
    </row>
    <row r="1894" spans="1:6" ht="14.1" customHeight="1">
      <c r="A1894" s="14">
        <f t="shared" si="57"/>
        <v>1890</v>
      </c>
      <c r="B1894" s="18"/>
      <c r="C1894" s="16" t="s">
        <v>1679</v>
      </c>
      <c r="D1894" s="19"/>
      <c r="E1894" s="19"/>
      <c r="F1894" s="203" t="str">
        <f t="shared" si="56"/>
        <v/>
      </c>
    </row>
    <row r="1895" spans="1:6" ht="14.1" customHeight="1">
      <c r="A1895" s="14">
        <f t="shared" si="57"/>
        <v>1891</v>
      </c>
      <c r="B1895" s="18"/>
      <c r="C1895" s="16" t="s">
        <v>1679</v>
      </c>
      <c r="D1895" s="19"/>
      <c r="E1895" s="19"/>
      <c r="F1895" s="203" t="str">
        <f t="shared" si="56"/>
        <v/>
      </c>
    </row>
    <row r="1896" spans="1:6" ht="14.1" customHeight="1">
      <c r="A1896" s="14">
        <f t="shared" si="57"/>
        <v>1892</v>
      </c>
      <c r="B1896" s="18"/>
      <c r="C1896" s="16" t="s">
        <v>1679</v>
      </c>
      <c r="D1896" s="19"/>
      <c r="E1896" s="19"/>
      <c r="F1896" s="203" t="str">
        <f t="shared" si="56"/>
        <v/>
      </c>
    </row>
    <row r="1897" spans="1:6" ht="14.1" customHeight="1">
      <c r="A1897" s="14">
        <f t="shared" si="57"/>
        <v>1893</v>
      </c>
      <c r="B1897" s="18"/>
      <c r="C1897" s="16" t="s">
        <v>1679</v>
      </c>
      <c r="D1897" s="19"/>
      <c r="E1897" s="19"/>
      <c r="F1897" s="203" t="str">
        <f t="shared" si="56"/>
        <v/>
      </c>
    </row>
    <row r="1898" spans="1:6" ht="14.1" customHeight="1">
      <c r="A1898" s="14">
        <f t="shared" si="57"/>
        <v>1894</v>
      </c>
      <c r="B1898" s="18"/>
      <c r="C1898" s="16" t="s">
        <v>1679</v>
      </c>
      <c r="D1898" s="19"/>
      <c r="E1898" s="19"/>
      <c r="F1898" s="203" t="str">
        <f t="shared" ref="F1898:F1961" si="58">IF(AND(B1899&lt;&gt;"",B1898=""),"Don't skip lines",IF(AND(D1898="",B1898&lt;&gt;""),"Enter U-value",IF(AND(D1898&lt;&gt;"",B1898=""),"Enter Description","")))</f>
        <v/>
      </c>
    </row>
    <row r="1899" spans="1:6" ht="14.1" customHeight="1">
      <c r="A1899" s="14">
        <f t="shared" si="57"/>
        <v>1895</v>
      </c>
      <c r="B1899" s="18"/>
      <c r="C1899" s="16" t="s">
        <v>1679</v>
      </c>
      <c r="D1899" s="19"/>
      <c r="E1899" s="19"/>
      <c r="F1899" s="203" t="str">
        <f t="shared" si="58"/>
        <v/>
      </c>
    </row>
    <row r="1900" spans="1:6" ht="14.1" customHeight="1">
      <c r="A1900" s="14">
        <f t="shared" si="57"/>
        <v>1896</v>
      </c>
      <c r="B1900" s="18"/>
      <c r="C1900" s="16" t="s">
        <v>1679</v>
      </c>
      <c r="D1900" s="19"/>
      <c r="E1900" s="19"/>
      <c r="F1900" s="203" t="str">
        <f t="shared" si="58"/>
        <v/>
      </c>
    </row>
    <row r="1901" spans="1:6" ht="14.1" customHeight="1">
      <c r="A1901" s="14">
        <f t="shared" si="57"/>
        <v>1897</v>
      </c>
      <c r="B1901" s="18"/>
      <c r="C1901" s="16" t="s">
        <v>1679</v>
      </c>
      <c r="D1901" s="19"/>
      <c r="E1901" s="19"/>
      <c r="F1901" s="203" t="str">
        <f t="shared" si="58"/>
        <v/>
      </c>
    </row>
    <row r="1902" spans="1:6" ht="14.1" customHeight="1">
      <c r="A1902" s="14">
        <f t="shared" si="57"/>
        <v>1898</v>
      </c>
      <c r="B1902" s="18"/>
      <c r="C1902" s="16" t="s">
        <v>1679</v>
      </c>
      <c r="D1902" s="19"/>
      <c r="E1902" s="19"/>
      <c r="F1902" s="203" t="str">
        <f t="shared" si="58"/>
        <v/>
      </c>
    </row>
    <row r="1903" spans="1:6" ht="14.1" customHeight="1">
      <c r="A1903" s="14">
        <f t="shared" si="57"/>
        <v>1899</v>
      </c>
      <c r="B1903" s="18"/>
      <c r="C1903" s="16" t="s">
        <v>1679</v>
      </c>
      <c r="D1903" s="19"/>
      <c r="E1903" s="19"/>
      <c r="F1903" s="203" t="str">
        <f t="shared" si="58"/>
        <v/>
      </c>
    </row>
    <row r="1904" spans="1:6" ht="14.1" customHeight="1">
      <c r="A1904" s="14">
        <f t="shared" si="57"/>
        <v>1900</v>
      </c>
      <c r="B1904" s="18"/>
      <c r="C1904" s="16" t="s">
        <v>1679</v>
      </c>
      <c r="D1904" s="19"/>
      <c r="E1904" s="19"/>
      <c r="F1904" s="203" t="str">
        <f t="shared" si="58"/>
        <v/>
      </c>
    </row>
    <row r="1905" spans="1:6" ht="14.1" customHeight="1">
      <c r="A1905" s="14">
        <f t="shared" si="57"/>
        <v>1901</v>
      </c>
      <c r="B1905" s="18"/>
      <c r="C1905" s="16" t="s">
        <v>1679</v>
      </c>
      <c r="D1905" s="19"/>
      <c r="E1905" s="19"/>
      <c r="F1905" s="203" t="str">
        <f t="shared" si="58"/>
        <v/>
      </c>
    </row>
    <row r="1906" spans="1:6" ht="14.1" customHeight="1">
      <c r="A1906" s="14">
        <f t="shared" si="57"/>
        <v>1902</v>
      </c>
      <c r="B1906" s="18"/>
      <c r="C1906" s="16" t="s">
        <v>1679</v>
      </c>
      <c r="D1906" s="19"/>
      <c r="E1906" s="19"/>
      <c r="F1906" s="203" t="str">
        <f t="shared" si="58"/>
        <v/>
      </c>
    </row>
    <row r="1907" spans="1:6" ht="14.1" customHeight="1">
      <c r="A1907" s="14">
        <f t="shared" si="57"/>
        <v>1903</v>
      </c>
      <c r="B1907" s="18"/>
      <c r="C1907" s="16" t="s">
        <v>1679</v>
      </c>
      <c r="D1907" s="19"/>
      <c r="E1907" s="19"/>
      <c r="F1907" s="203" t="str">
        <f t="shared" si="58"/>
        <v/>
      </c>
    </row>
    <row r="1908" spans="1:6" ht="14.1" customHeight="1">
      <c r="A1908" s="14">
        <f t="shared" si="57"/>
        <v>1904</v>
      </c>
      <c r="B1908" s="18"/>
      <c r="C1908" s="16" t="s">
        <v>1679</v>
      </c>
      <c r="D1908" s="19"/>
      <c r="E1908" s="19"/>
      <c r="F1908" s="203" t="str">
        <f t="shared" si="58"/>
        <v/>
      </c>
    </row>
    <row r="1909" spans="1:6" ht="14.1" customHeight="1">
      <c r="A1909" s="14">
        <f t="shared" si="57"/>
        <v>1905</v>
      </c>
      <c r="B1909" s="18"/>
      <c r="C1909" s="16" t="s">
        <v>1679</v>
      </c>
      <c r="D1909" s="19"/>
      <c r="E1909" s="19"/>
      <c r="F1909" s="203" t="str">
        <f t="shared" si="58"/>
        <v/>
      </c>
    </row>
    <row r="1910" spans="1:6" ht="14.1" customHeight="1">
      <c r="A1910" s="14">
        <f t="shared" si="57"/>
        <v>1906</v>
      </c>
      <c r="B1910" s="18"/>
      <c r="C1910" s="16" t="s">
        <v>1679</v>
      </c>
      <c r="D1910" s="19"/>
      <c r="E1910" s="19"/>
      <c r="F1910" s="203" t="str">
        <f t="shared" si="58"/>
        <v/>
      </c>
    </row>
    <row r="1911" spans="1:6" ht="14.1" customHeight="1">
      <c r="A1911" s="14">
        <f t="shared" si="57"/>
        <v>1907</v>
      </c>
      <c r="B1911" s="18"/>
      <c r="C1911" s="16" t="s">
        <v>1679</v>
      </c>
      <c r="D1911" s="19"/>
      <c r="E1911" s="19"/>
      <c r="F1911" s="203" t="str">
        <f t="shared" si="58"/>
        <v/>
      </c>
    </row>
    <row r="1912" spans="1:6" ht="14.1" customHeight="1">
      <c r="A1912" s="14">
        <f t="shared" si="57"/>
        <v>1908</v>
      </c>
      <c r="B1912" s="18"/>
      <c r="C1912" s="16" t="s">
        <v>1679</v>
      </c>
      <c r="D1912" s="19"/>
      <c r="E1912" s="19"/>
      <c r="F1912" s="203" t="str">
        <f t="shared" si="58"/>
        <v/>
      </c>
    </row>
    <row r="1913" spans="1:6" ht="14.1" customHeight="1">
      <c r="A1913" s="14">
        <f t="shared" si="57"/>
        <v>1909</v>
      </c>
      <c r="B1913" s="18"/>
      <c r="C1913" s="16" t="s">
        <v>1679</v>
      </c>
      <c r="D1913" s="19"/>
      <c r="E1913" s="19"/>
      <c r="F1913" s="203" t="str">
        <f t="shared" si="58"/>
        <v/>
      </c>
    </row>
    <row r="1914" spans="1:6" ht="14.1" customHeight="1">
      <c r="A1914" s="14">
        <f t="shared" si="57"/>
        <v>1910</v>
      </c>
      <c r="B1914" s="18"/>
      <c r="C1914" s="16" t="s">
        <v>1679</v>
      </c>
      <c r="D1914" s="19"/>
      <c r="E1914" s="19"/>
      <c r="F1914" s="203" t="str">
        <f t="shared" si="58"/>
        <v/>
      </c>
    </row>
    <row r="1915" spans="1:6" ht="14.1" customHeight="1">
      <c r="A1915" s="14">
        <f t="shared" si="57"/>
        <v>1911</v>
      </c>
      <c r="B1915" s="18"/>
      <c r="C1915" s="16" t="s">
        <v>1679</v>
      </c>
      <c r="D1915" s="19"/>
      <c r="E1915" s="19"/>
      <c r="F1915" s="203" t="str">
        <f t="shared" si="58"/>
        <v/>
      </c>
    </row>
    <row r="1916" spans="1:6" ht="14.1" customHeight="1">
      <c r="A1916" s="14">
        <f t="shared" si="57"/>
        <v>1912</v>
      </c>
      <c r="B1916" s="18"/>
      <c r="C1916" s="16" t="s">
        <v>1679</v>
      </c>
      <c r="D1916" s="19"/>
      <c r="E1916" s="19"/>
      <c r="F1916" s="203" t="str">
        <f t="shared" si="58"/>
        <v/>
      </c>
    </row>
    <row r="1917" spans="1:6" ht="14.1" customHeight="1">
      <c r="A1917" s="14">
        <f t="shared" si="57"/>
        <v>1913</v>
      </c>
      <c r="B1917" s="18"/>
      <c r="C1917" s="16" t="s">
        <v>1679</v>
      </c>
      <c r="D1917" s="19"/>
      <c r="E1917" s="19"/>
      <c r="F1917" s="203" t="str">
        <f t="shared" si="58"/>
        <v/>
      </c>
    </row>
    <row r="1918" spans="1:6" ht="14.1" customHeight="1">
      <c r="A1918" s="14">
        <f t="shared" si="57"/>
        <v>1914</v>
      </c>
      <c r="B1918" s="18"/>
      <c r="C1918" s="16" t="s">
        <v>1679</v>
      </c>
      <c r="D1918" s="19"/>
      <c r="E1918" s="19"/>
      <c r="F1918" s="203" t="str">
        <f t="shared" si="58"/>
        <v/>
      </c>
    </row>
    <row r="1919" spans="1:6" ht="14.1" customHeight="1">
      <c r="A1919" s="14">
        <f t="shared" si="57"/>
        <v>1915</v>
      </c>
      <c r="B1919" s="18"/>
      <c r="C1919" s="16" t="s">
        <v>1679</v>
      </c>
      <c r="D1919" s="19"/>
      <c r="E1919" s="19"/>
      <c r="F1919" s="203" t="str">
        <f t="shared" si="58"/>
        <v/>
      </c>
    </row>
    <row r="1920" spans="1:6" ht="14.1" customHeight="1">
      <c r="A1920" s="14">
        <f t="shared" si="57"/>
        <v>1916</v>
      </c>
      <c r="B1920" s="18"/>
      <c r="C1920" s="16" t="s">
        <v>1679</v>
      </c>
      <c r="D1920" s="19"/>
      <c r="E1920" s="19"/>
      <c r="F1920" s="203" t="str">
        <f t="shared" si="58"/>
        <v/>
      </c>
    </row>
    <row r="1921" spans="1:6" ht="14.1" customHeight="1">
      <c r="A1921" s="14">
        <f t="shared" si="57"/>
        <v>1917</v>
      </c>
      <c r="B1921" s="18"/>
      <c r="C1921" s="16" t="s">
        <v>1679</v>
      </c>
      <c r="D1921" s="19"/>
      <c r="E1921" s="19"/>
      <c r="F1921" s="203" t="str">
        <f t="shared" si="58"/>
        <v/>
      </c>
    </row>
    <row r="1922" spans="1:6" ht="14.1" customHeight="1">
      <c r="A1922" s="14">
        <f t="shared" si="57"/>
        <v>1918</v>
      </c>
      <c r="B1922" s="18"/>
      <c r="C1922" s="16" t="s">
        <v>1679</v>
      </c>
      <c r="D1922" s="19"/>
      <c r="E1922" s="19"/>
      <c r="F1922" s="203" t="str">
        <f t="shared" si="58"/>
        <v/>
      </c>
    </row>
    <row r="1923" spans="1:6" ht="14.1" customHeight="1">
      <c r="A1923" s="14">
        <f t="shared" ref="A1923:A1986" si="59">A1922+1</f>
        <v>1919</v>
      </c>
      <c r="B1923" s="18"/>
      <c r="C1923" s="16" t="s">
        <v>1679</v>
      </c>
      <c r="D1923" s="19"/>
      <c r="E1923" s="19"/>
      <c r="F1923" s="203" t="str">
        <f t="shared" si="58"/>
        <v/>
      </c>
    </row>
    <row r="1924" spans="1:6" ht="14.1" customHeight="1">
      <c r="A1924" s="14">
        <f t="shared" si="59"/>
        <v>1920</v>
      </c>
      <c r="B1924" s="18"/>
      <c r="C1924" s="16" t="s">
        <v>1679</v>
      </c>
      <c r="D1924" s="19"/>
      <c r="E1924" s="19"/>
      <c r="F1924" s="203" t="str">
        <f t="shared" si="58"/>
        <v/>
      </c>
    </row>
    <row r="1925" spans="1:6" ht="14.1" customHeight="1">
      <c r="A1925" s="14">
        <f t="shared" si="59"/>
        <v>1921</v>
      </c>
      <c r="B1925" s="18"/>
      <c r="C1925" s="16" t="s">
        <v>1679</v>
      </c>
      <c r="D1925" s="19"/>
      <c r="E1925" s="19"/>
      <c r="F1925" s="203" t="str">
        <f t="shared" si="58"/>
        <v/>
      </c>
    </row>
    <row r="1926" spans="1:6" ht="14.1" customHeight="1">
      <c r="A1926" s="14">
        <f t="shared" si="59"/>
        <v>1922</v>
      </c>
      <c r="B1926" s="18"/>
      <c r="C1926" s="16" t="s">
        <v>1679</v>
      </c>
      <c r="D1926" s="19"/>
      <c r="E1926" s="19"/>
      <c r="F1926" s="203" t="str">
        <f t="shared" si="58"/>
        <v/>
      </c>
    </row>
    <row r="1927" spans="1:6" ht="14.1" customHeight="1">
      <c r="A1927" s="14">
        <f t="shared" si="59"/>
        <v>1923</v>
      </c>
      <c r="B1927" s="18"/>
      <c r="C1927" s="16" t="s">
        <v>1679</v>
      </c>
      <c r="D1927" s="19"/>
      <c r="E1927" s="19"/>
      <c r="F1927" s="203" t="str">
        <f t="shared" si="58"/>
        <v/>
      </c>
    </row>
    <row r="1928" spans="1:6" ht="14.1" customHeight="1">
      <c r="A1928" s="14">
        <f t="shared" si="59"/>
        <v>1924</v>
      </c>
      <c r="B1928" s="18"/>
      <c r="C1928" s="16" t="s">
        <v>1679</v>
      </c>
      <c r="D1928" s="19"/>
      <c r="E1928" s="19"/>
      <c r="F1928" s="203" t="str">
        <f t="shared" si="58"/>
        <v/>
      </c>
    </row>
    <row r="1929" spans="1:6" ht="14.1" customHeight="1">
      <c r="A1929" s="14">
        <f t="shared" si="59"/>
        <v>1925</v>
      </c>
      <c r="B1929" s="18"/>
      <c r="C1929" s="16" t="s">
        <v>1679</v>
      </c>
      <c r="D1929" s="19"/>
      <c r="E1929" s="19"/>
      <c r="F1929" s="203" t="str">
        <f t="shared" si="58"/>
        <v/>
      </c>
    </row>
    <row r="1930" spans="1:6" ht="14.1" customHeight="1">
      <c r="A1930" s="14">
        <f t="shared" si="59"/>
        <v>1926</v>
      </c>
      <c r="B1930" s="18"/>
      <c r="C1930" s="16" t="s">
        <v>1679</v>
      </c>
      <c r="D1930" s="19"/>
      <c r="E1930" s="19"/>
      <c r="F1930" s="203" t="str">
        <f t="shared" si="58"/>
        <v/>
      </c>
    </row>
    <row r="1931" spans="1:6" ht="14.1" customHeight="1">
      <c r="A1931" s="14">
        <f t="shared" si="59"/>
        <v>1927</v>
      </c>
      <c r="B1931" s="18"/>
      <c r="C1931" s="16" t="s">
        <v>1679</v>
      </c>
      <c r="D1931" s="19"/>
      <c r="E1931" s="19"/>
      <c r="F1931" s="203" t="str">
        <f t="shared" si="58"/>
        <v/>
      </c>
    </row>
    <row r="1932" spans="1:6" ht="14.1" customHeight="1">
      <c r="A1932" s="14">
        <f t="shared" si="59"/>
        <v>1928</v>
      </c>
      <c r="B1932" s="18"/>
      <c r="C1932" s="16" t="s">
        <v>1679</v>
      </c>
      <c r="D1932" s="19"/>
      <c r="E1932" s="19"/>
      <c r="F1932" s="203" t="str">
        <f t="shared" si="58"/>
        <v/>
      </c>
    </row>
    <row r="1933" spans="1:6" ht="14.1" customHeight="1">
      <c r="A1933" s="14">
        <f t="shared" si="59"/>
        <v>1929</v>
      </c>
      <c r="B1933" s="18"/>
      <c r="C1933" s="16" t="s">
        <v>1679</v>
      </c>
      <c r="D1933" s="19"/>
      <c r="E1933" s="19"/>
      <c r="F1933" s="203" t="str">
        <f t="shared" si="58"/>
        <v/>
      </c>
    </row>
    <row r="1934" spans="1:6" ht="14.1" customHeight="1">
      <c r="A1934" s="14">
        <f t="shared" si="59"/>
        <v>1930</v>
      </c>
      <c r="B1934" s="18"/>
      <c r="C1934" s="16" t="s">
        <v>1679</v>
      </c>
      <c r="D1934" s="19"/>
      <c r="E1934" s="19"/>
      <c r="F1934" s="203" t="str">
        <f t="shared" si="58"/>
        <v/>
      </c>
    </row>
    <row r="1935" spans="1:6" ht="14.1" customHeight="1">
      <c r="A1935" s="14">
        <f t="shared" si="59"/>
        <v>1931</v>
      </c>
      <c r="B1935" s="18"/>
      <c r="C1935" s="16" t="s">
        <v>1679</v>
      </c>
      <c r="D1935" s="19"/>
      <c r="E1935" s="19"/>
      <c r="F1935" s="203" t="str">
        <f t="shared" si="58"/>
        <v/>
      </c>
    </row>
    <row r="1936" spans="1:6" ht="14.1" customHeight="1">
      <c r="A1936" s="14">
        <f t="shared" si="59"/>
        <v>1932</v>
      </c>
      <c r="B1936" s="18"/>
      <c r="C1936" s="16" t="s">
        <v>1679</v>
      </c>
      <c r="D1936" s="19"/>
      <c r="E1936" s="19"/>
      <c r="F1936" s="203" t="str">
        <f t="shared" si="58"/>
        <v/>
      </c>
    </row>
    <row r="1937" spans="1:6" ht="14.1" customHeight="1">
      <c r="A1937" s="14">
        <f t="shared" si="59"/>
        <v>1933</v>
      </c>
      <c r="B1937" s="18"/>
      <c r="C1937" s="16" t="s">
        <v>1679</v>
      </c>
      <c r="D1937" s="19"/>
      <c r="E1937" s="19"/>
      <c r="F1937" s="203" t="str">
        <f t="shared" si="58"/>
        <v/>
      </c>
    </row>
    <row r="1938" spans="1:6" ht="14.1" customHeight="1">
      <c r="A1938" s="14">
        <f t="shared" si="59"/>
        <v>1934</v>
      </c>
      <c r="B1938" s="18"/>
      <c r="C1938" s="16" t="s">
        <v>1679</v>
      </c>
      <c r="D1938" s="19"/>
      <c r="E1938" s="19"/>
      <c r="F1938" s="203" t="str">
        <f t="shared" si="58"/>
        <v/>
      </c>
    </row>
    <row r="1939" spans="1:6" ht="14.1" customHeight="1">
      <c r="A1939" s="14">
        <f t="shared" si="59"/>
        <v>1935</v>
      </c>
      <c r="B1939" s="18"/>
      <c r="C1939" s="16" t="s">
        <v>1679</v>
      </c>
      <c r="D1939" s="19"/>
      <c r="E1939" s="19"/>
      <c r="F1939" s="203" t="str">
        <f t="shared" si="58"/>
        <v/>
      </c>
    </row>
    <row r="1940" spans="1:6" ht="14.1" customHeight="1">
      <c r="A1940" s="14">
        <f t="shared" si="59"/>
        <v>1936</v>
      </c>
      <c r="B1940" s="18"/>
      <c r="C1940" s="16" t="s">
        <v>1679</v>
      </c>
      <c r="D1940" s="19"/>
      <c r="E1940" s="19"/>
      <c r="F1940" s="203" t="str">
        <f t="shared" si="58"/>
        <v/>
      </c>
    </row>
    <row r="1941" spans="1:6" ht="14.1" customHeight="1">
      <c r="A1941" s="14">
        <f t="shared" si="59"/>
        <v>1937</v>
      </c>
      <c r="B1941" s="18"/>
      <c r="C1941" s="16" t="s">
        <v>1679</v>
      </c>
      <c r="D1941" s="19"/>
      <c r="E1941" s="19"/>
      <c r="F1941" s="203" t="str">
        <f t="shared" si="58"/>
        <v/>
      </c>
    </row>
    <row r="1942" spans="1:6" ht="14.1" customHeight="1">
      <c r="A1942" s="14">
        <f t="shared" si="59"/>
        <v>1938</v>
      </c>
      <c r="B1942" s="18"/>
      <c r="C1942" s="16" t="s">
        <v>1679</v>
      </c>
      <c r="D1942" s="19"/>
      <c r="E1942" s="19"/>
      <c r="F1942" s="203" t="str">
        <f t="shared" si="58"/>
        <v/>
      </c>
    </row>
    <row r="1943" spans="1:6" ht="14.1" customHeight="1">
      <c r="A1943" s="14">
        <f t="shared" si="59"/>
        <v>1939</v>
      </c>
      <c r="B1943" s="18"/>
      <c r="C1943" s="16" t="s">
        <v>1679</v>
      </c>
      <c r="D1943" s="19"/>
      <c r="E1943" s="19"/>
      <c r="F1943" s="203" t="str">
        <f t="shared" si="58"/>
        <v/>
      </c>
    </row>
    <row r="1944" spans="1:6" ht="14.1" customHeight="1">
      <c r="A1944" s="14">
        <f t="shared" si="59"/>
        <v>1940</v>
      </c>
      <c r="B1944" s="18"/>
      <c r="C1944" s="16" t="s">
        <v>1679</v>
      </c>
      <c r="D1944" s="19"/>
      <c r="E1944" s="19"/>
      <c r="F1944" s="203" t="str">
        <f t="shared" si="58"/>
        <v/>
      </c>
    </row>
    <row r="1945" spans="1:6" ht="14.1" customHeight="1">
      <c r="A1945" s="14">
        <f t="shared" si="59"/>
        <v>1941</v>
      </c>
      <c r="B1945" s="18"/>
      <c r="C1945" s="16" t="s">
        <v>1679</v>
      </c>
      <c r="D1945" s="19"/>
      <c r="E1945" s="19"/>
      <c r="F1945" s="203" t="str">
        <f t="shared" si="58"/>
        <v/>
      </c>
    </row>
    <row r="1946" spans="1:6" ht="14.1" customHeight="1">
      <c r="A1946" s="14">
        <f t="shared" si="59"/>
        <v>1942</v>
      </c>
      <c r="B1946" s="18"/>
      <c r="C1946" s="16" t="s">
        <v>1679</v>
      </c>
      <c r="D1946" s="19"/>
      <c r="E1946" s="19"/>
      <c r="F1946" s="203" t="str">
        <f t="shared" si="58"/>
        <v/>
      </c>
    </row>
    <row r="1947" spans="1:6" ht="14.1" customHeight="1">
      <c r="A1947" s="14">
        <f t="shared" si="59"/>
        <v>1943</v>
      </c>
      <c r="B1947" s="18"/>
      <c r="C1947" s="16" t="s">
        <v>1679</v>
      </c>
      <c r="D1947" s="19"/>
      <c r="E1947" s="19"/>
      <c r="F1947" s="203" t="str">
        <f t="shared" si="58"/>
        <v/>
      </c>
    </row>
    <row r="1948" spans="1:6" ht="14.1" customHeight="1">
      <c r="A1948" s="14">
        <f t="shared" si="59"/>
        <v>1944</v>
      </c>
      <c r="B1948" s="18"/>
      <c r="C1948" s="16" t="s">
        <v>1679</v>
      </c>
      <c r="D1948" s="19"/>
      <c r="E1948" s="19"/>
      <c r="F1948" s="203" t="str">
        <f t="shared" si="58"/>
        <v/>
      </c>
    </row>
    <row r="1949" spans="1:6" ht="14.1" customHeight="1">
      <c r="A1949" s="14">
        <f t="shared" si="59"/>
        <v>1945</v>
      </c>
      <c r="B1949" s="18"/>
      <c r="C1949" s="16" t="s">
        <v>1679</v>
      </c>
      <c r="D1949" s="19"/>
      <c r="E1949" s="19"/>
      <c r="F1949" s="203" t="str">
        <f t="shared" si="58"/>
        <v/>
      </c>
    </row>
    <row r="1950" spans="1:6" ht="14.1" customHeight="1">
      <c r="A1950" s="14">
        <f t="shared" si="59"/>
        <v>1946</v>
      </c>
      <c r="B1950" s="18"/>
      <c r="C1950" s="16" t="s">
        <v>1679</v>
      </c>
      <c r="D1950" s="19"/>
      <c r="E1950" s="19"/>
      <c r="F1950" s="203" t="str">
        <f t="shared" si="58"/>
        <v/>
      </c>
    </row>
    <row r="1951" spans="1:6" ht="14.1" customHeight="1">
      <c r="A1951" s="14">
        <f t="shared" si="59"/>
        <v>1947</v>
      </c>
      <c r="B1951" s="18"/>
      <c r="C1951" s="16" t="s">
        <v>1679</v>
      </c>
      <c r="D1951" s="19"/>
      <c r="E1951" s="19"/>
      <c r="F1951" s="203" t="str">
        <f t="shared" si="58"/>
        <v/>
      </c>
    </row>
    <row r="1952" spans="1:6" ht="14.1" customHeight="1">
      <c r="A1952" s="14">
        <f t="shared" si="59"/>
        <v>1948</v>
      </c>
      <c r="B1952" s="18"/>
      <c r="C1952" s="16" t="s">
        <v>1679</v>
      </c>
      <c r="D1952" s="19"/>
      <c r="E1952" s="19"/>
      <c r="F1952" s="203" t="str">
        <f t="shared" si="58"/>
        <v/>
      </c>
    </row>
    <row r="1953" spans="1:6" ht="14.1" customHeight="1">
      <c r="A1953" s="14">
        <f t="shared" si="59"/>
        <v>1949</v>
      </c>
      <c r="B1953" s="18"/>
      <c r="C1953" s="16" t="s">
        <v>1679</v>
      </c>
      <c r="D1953" s="19"/>
      <c r="E1953" s="19"/>
      <c r="F1953" s="203" t="str">
        <f t="shared" si="58"/>
        <v/>
      </c>
    </row>
    <row r="1954" spans="1:6" ht="14.1" customHeight="1">
      <c r="A1954" s="14">
        <f t="shared" si="59"/>
        <v>1950</v>
      </c>
      <c r="B1954" s="18"/>
      <c r="C1954" s="16" t="s">
        <v>1679</v>
      </c>
      <c r="D1954" s="19"/>
      <c r="E1954" s="19"/>
      <c r="F1954" s="203" t="str">
        <f t="shared" si="58"/>
        <v/>
      </c>
    </row>
    <row r="1955" spans="1:6" ht="14.1" customHeight="1">
      <c r="A1955" s="14">
        <f t="shared" si="59"/>
        <v>1951</v>
      </c>
      <c r="B1955" s="18"/>
      <c r="C1955" s="16" t="s">
        <v>1679</v>
      </c>
      <c r="D1955" s="19"/>
      <c r="E1955" s="19"/>
      <c r="F1955" s="203" t="str">
        <f t="shared" si="58"/>
        <v/>
      </c>
    </row>
    <row r="1956" spans="1:6" ht="14.1" customHeight="1">
      <c r="A1956" s="14">
        <f t="shared" si="59"/>
        <v>1952</v>
      </c>
      <c r="B1956" s="18"/>
      <c r="C1956" s="16" t="s">
        <v>1679</v>
      </c>
      <c r="D1956" s="19"/>
      <c r="E1956" s="19"/>
      <c r="F1956" s="203" t="str">
        <f t="shared" si="58"/>
        <v/>
      </c>
    </row>
    <row r="1957" spans="1:6" ht="14.1" customHeight="1">
      <c r="A1957" s="14">
        <f t="shared" si="59"/>
        <v>1953</v>
      </c>
      <c r="B1957" s="18"/>
      <c r="C1957" s="16" t="s">
        <v>1679</v>
      </c>
      <c r="D1957" s="19"/>
      <c r="E1957" s="19"/>
      <c r="F1957" s="203" t="str">
        <f t="shared" si="58"/>
        <v/>
      </c>
    </row>
    <row r="1958" spans="1:6" ht="14.1" customHeight="1">
      <c r="A1958" s="14">
        <f t="shared" si="59"/>
        <v>1954</v>
      </c>
      <c r="B1958" s="18"/>
      <c r="C1958" s="16" t="s">
        <v>1679</v>
      </c>
      <c r="D1958" s="19"/>
      <c r="E1958" s="19"/>
      <c r="F1958" s="203" t="str">
        <f t="shared" si="58"/>
        <v/>
      </c>
    </row>
    <row r="1959" spans="1:6" ht="14.1" customHeight="1">
      <c r="A1959" s="14">
        <f t="shared" si="59"/>
        <v>1955</v>
      </c>
      <c r="B1959" s="18"/>
      <c r="C1959" s="16" t="s">
        <v>1679</v>
      </c>
      <c r="D1959" s="19"/>
      <c r="E1959" s="19"/>
      <c r="F1959" s="203" t="str">
        <f t="shared" si="58"/>
        <v/>
      </c>
    </row>
    <row r="1960" spans="1:6" ht="14.1" customHeight="1">
      <c r="A1960" s="14">
        <f t="shared" si="59"/>
        <v>1956</v>
      </c>
      <c r="B1960" s="18"/>
      <c r="C1960" s="16" t="s">
        <v>1679</v>
      </c>
      <c r="D1960" s="19"/>
      <c r="E1960" s="19"/>
      <c r="F1960" s="203" t="str">
        <f t="shared" si="58"/>
        <v/>
      </c>
    </row>
    <row r="1961" spans="1:6" ht="14.1" customHeight="1">
      <c r="A1961" s="14">
        <f t="shared" si="59"/>
        <v>1957</v>
      </c>
      <c r="B1961" s="18"/>
      <c r="C1961" s="16" t="s">
        <v>1679</v>
      </c>
      <c r="D1961" s="19"/>
      <c r="E1961" s="19"/>
      <c r="F1961" s="203" t="str">
        <f t="shared" si="58"/>
        <v/>
      </c>
    </row>
    <row r="1962" spans="1:6" ht="14.1" customHeight="1">
      <c r="A1962" s="14">
        <f t="shared" si="59"/>
        <v>1958</v>
      </c>
      <c r="B1962" s="18"/>
      <c r="C1962" s="16" t="s">
        <v>1679</v>
      </c>
      <c r="D1962" s="19"/>
      <c r="E1962" s="19"/>
      <c r="F1962" s="203" t="str">
        <f t="shared" ref="F1962:F2020" si="60">IF(AND(B1963&lt;&gt;"",B1962=""),"Don't skip lines",IF(AND(D1962="",B1962&lt;&gt;""),"Enter U-value",IF(AND(D1962&lt;&gt;"",B1962=""),"Enter Description","")))</f>
        <v/>
      </c>
    </row>
    <row r="1963" spans="1:6" ht="14.1" customHeight="1">
      <c r="A1963" s="14">
        <f t="shared" si="59"/>
        <v>1959</v>
      </c>
      <c r="B1963" s="18"/>
      <c r="C1963" s="16" t="s">
        <v>1679</v>
      </c>
      <c r="D1963" s="19"/>
      <c r="E1963" s="19"/>
      <c r="F1963" s="203" t="str">
        <f t="shared" si="60"/>
        <v/>
      </c>
    </row>
    <row r="1964" spans="1:6" ht="14.1" customHeight="1">
      <c r="A1964" s="14">
        <f t="shared" si="59"/>
        <v>1960</v>
      </c>
      <c r="B1964" s="18"/>
      <c r="C1964" s="16" t="s">
        <v>1679</v>
      </c>
      <c r="D1964" s="19"/>
      <c r="E1964" s="19"/>
      <c r="F1964" s="203" t="str">
        <f t="shared" si="60"/>
        <v/>
      </c>
    </row>
    <row r="1965" spans="1:6" ht="14.1" customHeight="1">
      <c r="A1965" s="14">
        <f t="shared" si="59"/>
        <v>1961</v>
      </c>
      <c r="B1965" s="18"/>
      <c r="C1965" s="16" t="s">
        <v>1679</v>
      </c>
      <c r="D1965" s="19"/>
      <c r="E1965" s="19"/>
      <c r="F1965" s="203" t="str">
        <f t="shared" si="60"/>
        <v/>
      </c>
    </row>
    <row r="1966" spans="1:6" ht="14.1" customHeight="1">
      <c r="A1966" s="14">
        <f t="shared" si="59"/>
        <v>1962</v>
      </c>
      <c r="B1966" s="18"/>
      <c r="C1966" s="16" t="s">
        <v>1679</v>
      </c>
      <c r="D1966" s="19"/>
      <c r="E1966" s="19"/>
      <c r="F1966" s="203" t="str">
        <f t="shared" si="60"/>
        <v/>
      </c>
    </row>
    <row r="1967" spans="1:6" ht="14.1" customHeight="1">
      <c r="A1967" s="14">
        <f t="shared" si="59"/>
        <v>1963</v>
      </c>
      <c r="B1967" s="18"/>
      <c r="C1967" s="16" t="s">
        <v>1679</v>
      </c>
      <c r="D1967" s="19"/>
      <c r="E1967" s="19"/>
      <c r="F1967" s="203" t="str">
        <f t="shared" si="60"/>
        <v/>
      </c>
    </row>
    <row r="1968" spans="1:6" ht="14.1" customHeight="1">
      <c r="A1968" s="14">
        <f t="shared" si="59"/>
        <v>1964</v>
      </c>
      <c r="B1968" s="18"/>
      <c r="C1968" s="16" t="s">
        <v>1679</v>
      </c>
      <c r="D1968" s="19"/>
      <c r="E1968" s="19"/>
      <c r="F1968" s="203" t="str">
        <f t="shared" si="60"/>
        <v/>
      </c>
    </row>
    <row r="1969" spans="1:6" ht="14.1" customHeight="1">
      <c r="A1969" s="14">
        <f t="shared" si="59"/>
        <v>1965</v>
      </c>
      <c r="B1969" s="18"/>
      <c r="C1969" s="16" t="s">
        <v>1679</v>
      </c>
      <c r="D1969" s="19"/>
      <c r="E1969" s="19"/>
      <c r="F1969" s="203" t="str">
        <f t="shared" si="60"/>
        <v/>
      </c>
    </row>
    <row r="1970" spans="1:6" ht="14.1" customHeight="1">
      <c r="A1970" s="14">
        <f t="shared" si="59"/>
        <v>1966</v>
      </c>
      <c r="B1970" s="18"/>
      <c r="C1970" s="16" t="s">
        <v>1679</v>
      </c>
      <c r="D1970" s="19"/>
      <c r="E1970" s="19"/>
      <c r="F1970" s="203" t="str">
        <f t="shared" si="60"/>
        <v/>
      </c>
    </row>
    <row r="1971" spans="1:6" ht="14.1" customHeight="1">
      <c r="A1971" s="14">
        <f t="shared" si="59"/>
        <v>1967</v>
      </c>
      <c r="B1971" s="18"/>
      <c r="C1971" s="16" t="s">
        <v>1679</v>
      </c>
      <c r="D1971" s="19"/>
      <c r="E1971" s="19"/>
      <c r="F1971" s="203" t="str">
        <f t="shared" si="60"/>
        <v/>
      </c>
    </row>
    <row r="1972" spans="1:6" ht="14.1" customHeight="1">
      <c r="A1972" s="14">
        <f t="shared" si="59"/>
        <v>1968</v>
      </c>
      <c r="B1972" s="18"/>
      <c r="C1972" s="16" t="s">
        <v>1679</v>
      </c>
      <c r="D1972" s="19"/>
      <c r="E1972" s="19"/>
      <c r="F1972" s="203" t="str">
        <f t="shared" si="60"/>
        <v/>
      </c>
    </row>
    <row r="1973" spans="1:6" ht="14.1" customHeight="1">
      <c r="A1973" s="14">
        <f t="shared" si="59"/>
        <v>1969</v>
      </c>
      <c r="B1973" s="18"/>
      <c r="C1973" s="16" t="s">
        <v>1679</v>
      </c>
      <c r="D1973" s="19"/>
      <c r="E1973" s="19"/>
      <c r="F1973" s="203" t="str">
        <f t="shared" si="60"/>
        <v/>
      </c>
    </row>
    <row r="1974" spans="1:6" ht="14.1" customHeight="1">
      <c r="A1974" s="14">
        <f t="shared" si="59"/>
        <v>1970</v>
      </c>
      <c r="B1974" s="18"/>
      <c r="C1974" s="16" t="s">
        <v>1679</v>
      </c>
      <c r="D1974" s="19"/>
      <c r="E1974" s="19"/>
      <c r="F1974" s="203" t="str">
        <f t="shared" si="60"/>
        <v/>
      </c>
    </row>
    <row r="1975" spans="1:6" ht="14.1" customHeight="1">
      <c r="A1975" s="14">
        <f t="shared" si="59"/>
        <v>1971</v>
      </c>
      <c r="B1975" s="18"/>
      <c r="C1975" s="16" t="s">
        <v>1679</v>
      </c>
      <c r="D1975" s="19"/>
      <c r="E1975" s="19"/>
      <c r="F1975" s="203" t="str">
        <f t="shared" si="60"/>
        <v/>
      </c>
    </row>
    <row r="1976" spans="1:6" ht="14.1" customHeight="1">
      <c r="A1976" s="14">
        <f t="shared" si="59"/>
        <v>1972</v>
      </c>
      <c r="B1976" s="18"/>
      <c r="C1976" s="16" t="s">
        <v>1679</v>
      </c>
      <c r="D1976" s="19"/>
      <c r="E1976" s="19"/>
      <c r="F1976" s="203" t="str">
        <f t="shared" si="60"/>
        <v/>
      </c>
    </row>
    <row r="1977" spans="1:6" ht="14.1" customHeight="1">
      <c r="A1977" s="14">
        <f t="shared" si="59"/>
        <v>1973</v>
      </c>
      <c r="B1977" s="18"/>
      <c r="C1977" s="16" t="s">
        <v>1679</v>
      </c>
      <c r="D1977" s="19"/>
      <c r="E1977" s="19"/>
      <c r="F1977" s="203" t="str">
        <f t="shared" si="60"/>
        <v/>
      </c>
    </row>
    <row r="1978" spans="1:6" ht="14.1" customHeight="1">
      <c r="A1978" s="14">
        <f t="shared" si="59"/>
        <v>1974</v>
      </c>
      <c r="B1978" s="18"/>
      <c r="C1978" s="16" t="s">
        <v>1679</v>
      </c>
      <c r="D1978" s="19"/>
      <c r="E1978" s="19"/>
      <c r="F1978" s="203" t="str">
        <f t="shared" si="60"/>
        <v/>
      </c>
    </row>
    <row r="1979" spans="1:6" ht="14.1" customHeight="1">
      <c r="A1979" s="14">
        <f t="shared" si="59"/>
        <v>1975</v>
      </c>
      <c r="B1979" s="18"/>
      <c r="C1979" s="16" t="s">
        <v>1679</v>
      </c>
      <c r="D1979" s="19"/>
      <c r="E1979" s="19"/>
      <c r="F1979" s="203" t="str">
        <f t="shared" si="60"/>
        <v/>
      </c>
    </row>
    <row r="1980" spans="1:6" ht="14.1" customHeight="1">
      <c r="A1980" s="14">
        <f t="shared" si="59"/>
        <v>1976</v>
      </c>
      <c r="B1980" s="18"/>
      <c r="C1980" s="16" t="s">
        <v>1679</v>
      </c>
      <c r="D1980" s="19"/>
      <c r="E1980" s="19"/>
      <c r="F1980" s="203" t="str">
        <f t="shared" si="60"/>
        <v/>
      </c>
    </row>
    <row r="1981" spans="1:6" ht="14.1" customHeight="1">
      <c r="A1981" s="14">
        <f t="shared" si="59"/>
        <v>1977</v>
      </c>
      <c r="B1981" s="18"/>
      <c r="C1981" s="16" t="s">
        <v>1679</v>
      </c>
      <c r="D1981" s="19"/>
      <c r="E1981" s="19"/>
      <c r="F1981" s="203" t="str">
        <f t="shared" si="60"/>
        <v/>
      </c>
    </row>
    <row r="1982" spans="1:6" ht="14.1" customHeight="1">
      <c r="A1982" s="14">
        <f t="shared" si="59"/>
        <v>1978</v>
      </c>
      <c r="B1982" s="18"/>
      <c r="C1982" s="16" t="s">
        <v>1679</v>
      </c>
      <c r="D1982" s="19"/>
      <c r="E1982" s="19"/>
      <c r="F1982" s="203" t="str">
        <f t="shared" si="60"/>
        <v/>
      </c>
    </row>
    <row r="1983" spans="1:6" ht="14.1" customHeight="1">
      <c r="A1983" s="14">
        <f t="shared" si="59"/>
        <v>1979</v>
      </c>
      <c r="B1983" s="18"/>
      <c r="C1983" s="16" t="s">
        <v>1679</v>
      </c>
      <c r="D1983" s="19"/>
      <c r="E1983" s="19"/>
      <c r="F1983" s="203" t="str">
        <f t="shared" si="60"/>
        <v/>
      </c>
    </row>
    <row r="1984" spans="1:6" ht="14.1" customHeight="1">
      <c r="A1984" s="14">
        <f t="shared" si="59"/>
        <v>1980</v>
      </c>
      <c r="B1984" s="18"/>
      <c r="C1984" s="16" t="s">
        <v>1679</v>
      </c>
      <c r="D1984" s="19"/>
      <c r="E1984" s="19"/>
      <c r="F1984" s="203" t="str">
        <f t="shared" si="60"/>
        <v/>
      </c>
    </row>
    <row r="1985" spans="1:6" ht="14.1" customHeight="1">
      <c r="A1985" s="14">
        <f t="shared" si="59"/>
        <v>1981</v>
      </c>
      <c r="B1985" s="18"/>
      <c r="C1985" s="16" t="s">
        <v>1679</v>
      </c>
      <c r="D1985" s="19"/>
      <c r="E1985" s="19"/>
      <c r="F1985" s="203" t="str">
        <f t="shared" si="60"/>
        <v/>
      </c>
    </row>
    <row r="1986" spans="1:6" ht="14.1" customHeight="1">
      <c r="A1986" s="14">
        <f t="shared" si="59"/>
        <v>1982</v>
      </c>
      <c r="B1986" s="18"/>
      <c r="C1986" s="16" t="s">
        <v>1679</v>
      </c>
      <c r="D1986" s="19"/>
      <c r="E1986" s="19"/>
      <c r="F1986" s="203" t="str">
        <f t="shared" si="60"/>
        <v/>
      </c>
    </row>
    <row r="1987" spans="1:6" ht="14.1" customHeight="1">
      <c r="A1987" s="14">
        <f t="shared" ref="A1987:A2020" si="61">A1986+1</f>
        <v>1983</v>
      </c>
      <c r="B1987" s="18"/>
      <c r="C1987" s="16" t="s">
        <v>1679</v>
      </c>
      <c r="D1987" s="19"/>
      <c r="E1987" s="19"/>
      <c r="F1987" s="203" t="str">
        <f t="shared" si="60"/>
        <v/>
      </c>
    </row>
    <row r="1988" spans="1:6" ht="14.1" customHeight="1">
      <c r="A1988" s="14">
        <f t="shared" si="61"/>
        <v>1984</v>
      </c>
      <c r="B1988" s="18"/>
      <c r="C1988" s="16" t="s">
        <v>1679</v>
      </c>
      <c r="D1988" s="19"/>
      <c r="E1988" s="19"/>
      <c r="F1988" s="203" t="str">
        <f t="shared" si="60"/>
        <v/>
      </c>
    </row>
    <row r="1989" spans="1:6" ht="14.1" customHeight="1">
      <c r="A1989" s="14">
        <f t="shared" si="61"/>
        <v>1985</v>
      </c>
      <c r="B1989" s="18"/>
      <c r="C1989" s="16" t="s">
        <v>1679</v>
      </c>
      <c r="D1989" s="19"/>
      <c r="E1989" s="19"/>
      <c r="F1989" s="203" t="str">
        <f t="shared" si="60"/>
        <v/>
      </c>
    </row>
    <row r="1990" spans="1:6" ht="14.1" customHeight="1">
      <c r="A1990" s="14">
        <f t="shared" si="61"/>
        <v>1986</v>
      </c>
      <c r="B1990" s="18"/>
      <c r="C1990" s="16" t="s">
        <v>1679</v>
      </c>
      <c r="D1990" s="19"/>
      <c r="E1990" s="19"/>
      <c r="F1990" s="203" t="str">
        <f t="shared" si="60"/>
        <v/>
      </c>
    </row>
    <row r="1991" spans="1:6" ht="14.1" customHeight="1">
      <c r="A1991" s="14">
        <f t="shared" si="61"/>
        <v>1987</v>
      </c>
      <c r="B1991" s="18"/>
      <c r="C1991" s="16" t="s">
        <v>1679</v>
      </c>
      <c r="D1991" s="19"/>
      <c r="E1991" s="19"/>
      <c r="F1991" s="203" t="str">
        <f t="shared" si="60"/>
        <v/>
      </c>
    </row>
    <row r="1992" spans="1:6" ht="14.1" customHeight="1">
      <c r="A1992" s="14">
        <f t="shared" si="61"/>
        <v>1988</v>
      </c>
      <c r="B1992" s="18"/>
      <c r="C1992" s="16" t="s">
        <v>1679</v>
      </c>
      <c r="D1992" s="19"/>
      <c r="E1992" s="19"/>
      <c r="F1992" s="203" t="str">
        <f t="shared" si="60"/>
        <v/>
      </c>
    </row>
    <row r="1993" spans="1:6" ht="14.1" customHeight="1">
      <c r="A1993" s="14">
        <f t="shared" si="61"/>
        <v>1989</v>
      </c>
      <c r="B1993" s="18"/>
      <c r="C1993" s="16" t="s">
        <v>1679</v>
      </c>
      <c r="D1993" s="19"/>
      <c r="E1993" s="19"/>
      <c r="F1993" s="203" t="str">
        <f t="shared" si="60"/>
        <v/>
      </c>
    </row>
    <row r="1994" spans="1:6" ht="14.1" customHeight="1">
      <c r="A1994" s="14">
        <f t="shared" si="61"/>
        <v>1990</v>
      </c>
      <c r="B1994" s="18"/>
      <c r="C1994" s="16" t="s">
        <v>1679</v>
      </c>
      <c r="D1994" s="19"/>
      <c r="E1994" s="19"/>
      <c r="F1994" s="203" t="str">
        <f t="shared" si="60"/>
        <v/>
      </c>
    </row>
    <row r="1995" spans="1:6" ht="14.1" customHeight="1">
      <c r="A1995" s="14">
        <f t="shared" si="61"/>
        <v>1991</v>
      </c>
      <c r="B1995" s="18"/>
      <c r="C1995" s="16" t="s">
        <v>1679</v>
      </c>
      <c r="D1995" s="19"/>
      <c r="E1995" s="19"/>
      <c r="F1995" s="203" t="str">
        <f t="shared" si="60"/>
        <v/>
      </c>
    </row>
    <row r="1996" spans="1:6" ht="14.1" customHeight="1">
      <c r="A1996" s="14">
        <f t="shared" si="61"/>
        <v>1992</v>
      </c>
      <c r="B1996" s="18"/>
      <c r="C1996" s="16" t="s">
        <v>1679</v>
      </c>
      <c r="D1996" s="19"/>
      <c r="E1996" s="19"/>
      <c r="F1996" s="203" t="str">
        <f t="shared" si="60"/>
        <v/>
      </c>
    </row>
    <row r="1997" spans="1:6" ht="14.1" customHeight="1">
      <c r="A1997" s="14">
        <f t="shared" si="61"/>
        <v>1993</v>
      </c>
      <c r="B1997" s="18"/>
      <c r="C1997" s="16" t="s">
        <v>1679</v>
      </c>
      <c r="D1997" s="19"/>
      <c r="E1997" s="19"/>
      <c r="F1997" s="203" t="str">
        <f t="shared" si="60"/>
        <v/>
      </c>
    </row>
    <row r="1998" spans="1:6" ht="14.1" customHeight="1">
      <c r="A1998" s="14">
        <f t="shared" si="61"/>
        <v>1994</v>
      </c>
      <c r="B1998" s="18"/>
      <c r="C1998" s="16" t="s">
        <v>1679</v>
      </c>
      <c r="D1998" s="19"/>
      <c r="E1998" s="19"/>
      <c r="F1998" s="203" t="str">
        <f t="shared" si="60"/>
        <v/>
      </c>
    </row>
    <row r="1999" spans="1:6" ht="14.1" customHeight="1">
      <c r="A1999" s="14">
        <f t="shared" si="61"/>
        <v>1995</v>
      </c>
      <c r="B1999" s="18"/>
      <c r="C1999" s="16" t="s">
        <v>1679</v>
      </c>
      <c r="D1999" s="19"/>
      <c r="E1999" s="19"/>
      <c r="F1999" s="203" t="str">
        <f t="shared" si="60"/>
        <v/>
      </c>
    </row>
    <row r="2000" spans="1:6" ht="14.1" customHeight="1">
      <c r="A2000" s="14">
        <f t="shared" si="61"/>
        <v>1996</v>
      </c>
      <c r="B2000" s="18"/>
      <c r="C2000" s="16" t="s">
        <v>1679</v>
      </c>
      <c r="D2000" s="19"/>
      <c r="E2000" s="19"/>
      <c r="F2000" s="203" t="str">
        <f t="shared" si="60"/>
        <v/>
      </c>
    </row>
    <row r="2001" spans="1:6" ht="14.1" customHeight="1">
      <c r="A2001" s="14">
        <f t="shared" si="61"/>
        <v>1997</v>
      </c>
      <c r="B2001" s="18"/>
      <c r="C2001" s="16" t="s">
        <v>1679</v>
      </c>
      <c r="D2001" s="19"/>
      <c r="E2001" s="19"/>
      <c r="F2001" s="203" t="str">
        <f t="shared" si="60"/>
        <v/>
      </c>
    </row>
    <row r="2002" spans="1:6" ht="14.1" customHeight="1">
      <c r="A2002" s="14">
        <f t="shared" si="61"/>
        <v>1998</v>
      </c>
      <c r="B2002" s="18"/>
      <c r="C2002" s="16" t="s">
        <v>1679</v>
      </c>
      <c r="D2002" s="19"/>
      <c r="E2002" s="19"/>
      <c r="F2002" s="203" t="str">
        <f t="shared" si="60"/>
        <v/>
      </c>
    </row>
    <row r="2003" spans="1:6" ht="14.1" customHeight="1">
      <c r="A2003" s="14">
        <f t="shared" si="61"/>
        <v>1999</v>
      </c>
      <c r="B2003" s="18"/>
      <c r="C2003" s="16" t="s">
        <v>1679</v>
      </c>
      <c r="D2003" s="19"/>
      <c r="E2003" s="19"/>
      <c r="F2003" s="203" t="str">
        <f t="shared" si="60"/>
        <v/>
      </c>
    </row>
    <row r="2004" spans="1:6" ht="14.1" customHeight="1">
      <c r="A2004" s="14">
        <f t="shared" si="61"/>
        <v>2000</v>
      </c>
      <c r="B2004" s="18"/>
      <c r="C2004" s="16" t="s">
        <v>1679</v>
      </c>
      <c r="D2004" s="19"/>
      <c r="E2004" s="19"/>
      <c r="F2004" s="203" t="str">
        <f t="shared" si="60"/>
        <v/>
      </c>
    </row>
    <row r="2005" spans="1:6" ht="14.1" customHeight="1">
      <c r="A2005" s="14">
        <f t="shared" si="61"/>
        <v>2001</v>
      </c>
      <c r="B2005" s="18"/>
      <c r="C2005" s="16" t="s">
        <v>1679</v>
      </c>
      <c r="D2005" s="19"/>
      <c r="E2005" s="19"/>
      <c r="F2005" s="203" t="str">
        <f t="shared" si="60"/>
        <v/>
      </c>
    </row>
    <row r="2006" spans="1:6" ht="14.1" customHeight="1">
      <c r="A2006" s="14">
        <f t="shared" si="61"/>
        <v>2002</v>
      </c>
      <c r="B2006" s="18"/>
      <c r="C2006" s="16" t="s">
        <v>1679</v>
      </c>
      <c r="D2006" s="19"/>
      <c r="E2006" s="19"/>
      <c r="F2006" s="203" t="str">
        <f t="shared" si="60"/>
        <v/>
      </c>
    </row>
    <row r="2007" spans="1:6" ht="14.1" customHeight="1">
      <c r="A2007" s="14">
        <f t="shared" si="61"/>
        <v>2003</v>
      </c>
      <c r="B2007" s="18"/>
      <c r="C2007" s="16" t="s">
        <v>1679</v>
      </c>
      <c r="D2007" s="19"/>
      <c r="E2007" s="19"/>
      <c r="F2007" s="203" t="str">
        <f t="shared" si="60"/>
        <v/>
      </c>
    </row>
    <row r="2008" spans="1:6" ht="14.1" customHeight="1">
      <c r="A2008" s="14">
        <f t="shared" si="61"/>
        <v>2004</v>
      </c>
      <c r="B2008" s="18"/>
      <c r="C2008" s="16" t="s">
        <v>1679</v>
      </c>
      <c r="D2008" s="19"/>
      <c r="E2008" s="19"/>
      <c r="F2008" s="203" t="str">
        <f t="shared" si="60"/>
        <v/>
      </c>
    </row>
    <row r="2009" spans="1:6" ht="14.1" customHeight="1">
      <c r="A2009" s="14">
        <f t="shared" si="61"/>
        <v>2005</v>
      </c>
      <c r="B2009" s="18"/>
      <c r="C2009" s="16" t="s">
        <v>1679</v>
      </c>
      <c r="D2009" s="19"/>
      <c r="E2009" s="19"/>
      <c r="F2009" s="203" t="str">
        <f t="shared" si="60"/>
        <v/>
      </c>
    </row>
    <row r="2010" spans="1:6" ht="14.1" customHeight="1">
      <c r="A2010" s="14">
        <f t="shared" si="61"/>
        <v>2006</v>
      </c>
      <c r="B2010" s="18"/>
      <c r="C2010" s="16" t="s">
        <v>1679</v>
      </c>
      <c r="D2010" s="19"/>
      <c r="E2010" s="19"/>
      <c r="F2010" s="203" t="str">
        <f t="shared" si="60"/>
        <v/>
      </c>
    </row>
    <row r="2011" spans="1:6" ht="14.1" customHeight="1">
      <c r="A2011" s="14">
        <f t="shared" si="61"/>
        <v>2007</v>
      </c>
      <c r="B2011" s="18"/>
      <c r="C2011" s="16" t="s">
        <v>1679</v>
      </c>
      <c r="D2011" s="19"/>
      <c r="E2011" s="19"/>
      <c r="F2011" s="203" t="str">
        <f t="shared" si="60"/>
        <v/>
      </c>
    </row>
    <row r="2012" spans="1:6" ht="14.1" customHeight="1">
      <c r="A2012" s="14">
        <f t="shared" si="61"/>
        <v>2008</v>
      </c>
      <c r="B2012" s="18"/>
      <c r="C2012" s="16" t="s">
        <v>1679</v>
      </c>
      <c r="D2012" s="19"/>
      <c r="E2012" s="19"/>
      <c r="F2012" s="203" t="str">
        <f t="shared" si="60"/>
        <v/>
      </c>
    </row>
    <row r="2013" spans="1:6" ht="14.1" customHeight="1">
      <c r="A2013" s="14">
        <f t="shared" si="61"/>
        <v>2009</v>
      </c>
      <c r="B2013" s="18"/>
      <c r="C2013" s="16" t="s">
        <v>1679</v>
      </c>
      <c r="D2013" s="19"/>
      <c r="E2013" s="19"/>
      <c r="F2013" s="203" t="str">
        <f t="shared" si="60"/>
        <v/>
      </c>
    </row>
    <row r="2014" spans="1:6" ht="14.1" customHeight="1">
      <c r="A2014" s="14">
        <f t="shared" si="61"/>
        <v>2010</v>
      </c>
      <c r="B2014" s="18"/>
      <c r="C2014" s="16" t="s">
        <v>1679</v>
      </c>
      <c r="D2014" s="19"/>
      <c r="E2014" s="19"/>
      <c r="F2014" s="203" t="str">
        <f t="shared" si="60"/>
        <v/>
      </c>
    </row>
    <row r="2015" spans="1:6" ht="14.1" customHeight="1">
      <c r="A2015" s="14">
        <f t="shared" si="61"/>
        <v>2011</v>
      </c>
      <c r="B2015" s="18"/>
      <c r="C2015" s="16" t="s">
        <v>1679</v>
      </c>
      <c r="D2015" s="19"/>
      <c r="E2015" s="19"/>
      <c r="F2015" s="203" t="str">
        <f t="shared" si="60"/>
        <v/>
      </c>
    </row>
    <row r="2016" spans="1:6" ht="14.1" customHeight="1">
      <c r="A2016" s="14">
        <f t="shared" si="61"/>
        <v>2012</v>
      </c>
      <c r="B2016" s="18"/>
      <c r="C2016" s="16" t="s">
        <v>1679</v>
      </c>
      <c r="D2016" s="19"/>
      <c r="E2016" s="19"/>
      <c r="F2016" s="203" t="str">
        <f t="shared" si="60"/>
        <v/>
      </c>
    </row>
    <row r="2017" spans="1:6" ht="14.1" customHeight="1">
      <c r="A2017" s="14">
        <f t="shared" si="61"/>
        <v>2013</v>
      </c>
      <c r="B2017" s="18"/>
      <c r="C2017" s="16" t="s">
        <v>1679</v>
      </c>
      <c r="D2017" s="19"/>
      <c r="E2017" s="19"/>
      <c r="F2017" s="203" t="str">
        <f t="shared" si="60"/>
        <v/>
      </c>
    </row>
    <row r="2018" spans="1:6" ht="14.1" customHeight="1">
      <c r="A2018" s="14">
        <f t="shared" si="61"/>
        <v>2014</v>
      </c>
      <c r="B2018" s="18"/>
      <c r="C2018" s="16" t="s">
        <v>1679</v>
      </c>
      <c r="D2018" s="19"/>
      <c r="E2018" s="19"/>
      <c r="F2018" s="203" t="str">
        <f t="shared" si="60"/>
        <v/>
      </c>
    </row>
    <row r="2019" spans="1:6" ht="14.1" customHeight="1">
      <c r="A2019" s="14">
        <f t="shared" si="61"/>
        <v>2015</v>
      </c>
      <c r="B2019" s="18"/>
      <c r="C2019" s="16" t="s">
        <v>1679</v>
      </c>
      <c r="D2019" s="19"/>
      <c r="E2019" s="19"/>
      <c r="F2019" s="203" t="str">
        <f t="shared" si="60"/>
        <v/>
      </c>
    </row>
    <row r="2020" spans="1:6" ht="14.1" customHeight="1">
      <c r="A2020" s="14">
        <f t="shared" si="61"/>
        <v>2016</v>
      </c>
      <c r="B2020" s="18"/>
      <c r="C2020" s="16" t="s">
        <v>1679</v>
      </c>
      <c r="D2020" s="19"/>
      <c r="E2020" s="19"/>
      <c r="F2020" s="203" t="str">
        <f t="shared" si="60"/>
        <v/>
      </c>
    </row>
  </sheetData>
  <sheetProtection algorithmName="SHA-512" hashValue="XTjbF58hcr0vvbKcDgWRpwp0816P50z+47RTUa4orScmn96O6n0OQr25iNnwuLDy0dlHOpnSI3Ukd+dnK974iA==" saltValue="5nU705iwFS3K+6U5VL8u8g==" spinCount="100000" sheet="1" objects="1" scenarios="1" insertHyperlinks="0" selectLockedCells="1" pivotTables="0"/>
  <customSheetViews>
    <customSheetView guid="{3A20BFFC-9D9E-415D-AC5D-1CC81DA9B04C}">
      <pane ySplit="1" topLeftCell="A2" activePane="bottomLeft" state="frozen"/>
      <selection pane="bottomLeft" activeCell="A2" sqref="A2"/>
      <pageMargins left="0.75" right="0.75" top="1" bottom="1" header="0.5" footer="0.5"/>
      <pageSetup orientation="portrait" r:id="rId1"/>
      <headerFooter alignWithMargins="0"/>
    </customSheetView>
  </customSheetViews>
  <phoneticPr fontId="0" type="noConversion"/>
  <conditionalFormatting sqref="D21:D104">
    <cfRule type="cellIs" dxfId="31" priority="1" operator="lessThanOrEqual">
      <formula>0.5</formula>
    </cfRule>
    <cfRule type="expression" dxfId="30" priority="2">
      <formula>"&lt;=0.50"</formula>
    </cfRule>
  </conditionalFormatting>
  <hyperlinks>
    <hyperlink ref="F1" location="'Terms of Use'!A1" display="(C) 2017" xr:uid="{00000000-0004-0000-07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41" r:id="rId5" name="Button 1">
              <controlPr defaultSize="0" print="0" autoFill="0" autoPict="0" macro="[0]!Go_to_TopOfOverheadGlazingInput">
                <anchor moveWithCells="1">
                  <from>
                    <xdr:col>2</xdr:col>
                    <xdr:colOff>1028700</xdr:colOff>
                    <xdr:row>104</xdr:row>
                    <xdr:rowOff>38100</xdr:rowOff>
                  </from>
                  <to>
                    <xdr:col>4</xdr:col>
                    <xdr:colOff>781050</xdr:colOff>
                    <xdr:row>104</xdr:row>
                    <xdr:rowOff>323850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Doors">
    <tabColor theme="0"/>
  </sheetPr>
  <dimension ref="A1:X118"/>
  <sheetViews>
    <sheetView zoomScaleNormal="100" workbookViewId="0">
      <pane ySplit="3" topLeftCell="A4" activePane="bottomLeft" state="frozen"/>
      <selection activeCell="D18" sqref="D18"/>
      <selection pane="bottomLeft" activeCell="B72" sqref="B72"/>
    </sheetView>
  </sheetViews>
  <sheetFormatPr defaultColWidth="8.7109375" defaultRowHeight="14.1" customHeight="1"/>
  <cols>
    <col min="1" max="1" width="8.7109375" style="14" customWidth="1"/>
    <col min="2" max="2" width="55.7109375" style="15" customWidth="1"/>
    <col min="3" max="3" width="10.42578125" style="16" customWidth="1"/>
    <col min="4" max="4" width="8.7109375" style="16" customWidth="1"/>
    <col min="5" max="5" width="17.28515625" style="16" customWidth="1"/>
    <col min="6" max="6" width="8.7109375" style="17" customWidth="1"/>
    <col min="7" max="16384" width="8.7109375" style="15"/>
  </cols>
  <sheetData>
    <row r="1" spans="1:24" ht="21"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row>
    <row r="2" spans="1:24" ht="19.5" customHeight="1">
      <c r="A2" s="549" t="s">
        <v>2462</v>
      </c>
      <c r="B2" s="550"/>
      <c r="C2" s="551"/>
      <c r="D2" s="552"/>
      <c r="E2" s="552"/>
      <c r="F2" s="550"/>
      <c r="G2" s="550"/>
      <c r="H2" s="550"/>
      <c r="I2" s="550"/>
      <c r="J2" s="553"/>
      <c r="K2" s="550"/>
      <c r="L2" s="550"/>
      <c r="M2" s="550"/>
      <c r="N2" s="550"/>
      <c r="O2" s="550"/>
      <c r="P2" s="550"/>
      <c r="Q2" s="550"/>
      <c r="R2" s="550"/>
      <c r="S2" s="550"/>
      <c r="T2" s="550"/>
      <c r="U2" s="550"/>
      <c r="V2" s="550"/>
      <c r="W2" s="550"/>
      <c r="X2" s="550"/>
    </row>
    <row r="3" spans="1:24" ht="14.1" customHeight="1">
      <c r="A3" s="524" t="s">
        <v>1400</v>
      </c>
      <c r="B3" s="425" t="s">
        <v>1401</v>
      </c>
      <c r="C3" s="438" t="s">
        <v>1402</v>
      </c>
      <c r="D3" s="441" t="s">
        <v>2428</v>
      </c>
      <c r="E3" s="17"/>
    </row>
    <row r="5" spans="1:24" ht="14.1" customHeight="1">
      <c r="A5" s="14">
        <v>1</v>
      </c>
      <c r="C5" s="16">
        <v>0</v>
      </c>
      <c r="D5" s="16">
        <v>0</v>
      </c>
    </row>
    <row r="6" spans="1:24" ht="14.1" customHeight="1">
      <c r="A6" s="150">
        <f>A5+1</f>
        <v>2</v>
      </c>
      <c r="B6" s="101" t="s">
        <v>2063</v>
      </c>
      <c r="C6" s="151"/>
      <c r="D6" s="151"/>
      <c r="E6" s="151"/>
    </row>
    <row r="7" spans="1:24" ht="14.1" customHeight="1">
      <c r="A7" s="150">
        <f t="shared" ref="A7:A26" si="0">A6+1</f>
        <v>3</v>
      </c>
      <c r="B7" s="77" t="s">
        <v>1663</v>
      </c>
      <c r="C7" s="151" t="s">
        <v>1664</v>
      </c>
      <c r="D7" s="151">
        <f>VLOOKUP($B7,$B$20:$D$70,3,FALSE)</f>
        <v>0.46</v>
      </c>
      <c r="E7" s="151"/>
    </row>
    <row r="8" spans="1:24" ht="14.1" customHeight="1">
      <c r="A8" s="150">
        <f t="shared" si="0"/>
        <v>4</v>
      </c>
      <c r="B8" s="77" t="s">
        <v>2576</v>
      </c>
      <c r="C8" s="151"/>
      <c r="D8" s="151">
        <v>0.3</v>
      </c>
      <c r="E8" s="151"/>
    </row>
    <row r="9" spans="1:24" ht="14.1" customHeight="1">
      <c r="A9" s="150">
        <f t="shared" si="0"/>
        <v>5</v>
      </c>
      <c r="B9" s="77" t="s">
        <v>3070</v>
      </c>
      <c r="C9" s="151"/>
      <c r="D9" s="151">
        <v>0.28000000000000003</v>
      </c>
      <c r="E9" s="151"/>
    </row>
    <row r="10" spans="1:24" ht="14.1" customHeight="1">
      <c r="A10" s="150">
        <f t="shared" si="0"/>
        <v>6</v>
      </c>
      <c r="B10" s="77" t="s">
        <v>1669</v>
      </c>
      <c r="C10" s="151" t="s">
        <v>1664</v>
      </c>
      <c r="D10" s="151">
        <f t="shared" ref="D10:D17" si="1">VLOOKUP($B10,$B$20:$D$70,3,FALSE)</f>
        <v>0.16</v>
      </c>
      <c r="E10" s="151"/>
    </row>
    <row r="11" spans="1:24" ht="14.1" customHeight="1">
      <c r="A11" s="150">
        <f t="shared" si="0"/>
        <v>7</v>
      </c>
      <c r="B11" s="77" t="s">
        <v>3252</v>
      </c>
      <c r="C11" s="151" t="s">
        <v>1664</v>
      </c>
      <c r="D11" s="151">
        <f t="shared" si="1"/>
        <v>0.21</v>
      </c>
      <c r="E11" s="151"/>
    </row>
    <row r="12" spans="1:24" ht="14.1" customHeight="1">
      <c r="A12" s="150">
        <f t="shared" si="0"/>
        <v>8</v>
      </c>
      <c r="B12" s="77" t="s">
        <v>3236</v>
      </c>
      <c r="C12" s="151" t="s">
        <v>1664</v>
      </c>
      <c r="D12" s="151">
        <f t="shared" si="1"/>
        <v>0.2</v>
      </c>
      <c r="E12" s="151"/>
    </row>
    <row r="13" spans="1:24" ht="14.1" customHeight="1">
      <c r="A13" s="150">
        <f t="shared" si="0"/>
        <v>9</v>
      </c>
      <c r="B13" s="77" t="s">
        <v>3237</v>
      </c>
      <c r="C13" s="151" t="s">
        <v>1664</v>
      </c>
      <c r="D13" s="151">
        <f t="shared" si="1"/>
        <v>0.28000000000000003</v>
      </c>
      <c r="E13" s="151"/>
    </row>
    <row r="14" spans="1:24" ht="14.1" customHeight="1">
      <c r="A14" s="150">
        <f t="shared" si="0"/>
        <v>10</v>
      </c>
      <c r="B14" s="77" t="s">
        <v>3238</v>
      </c>
      <c r="C14" s="151" t="s">
        <v>1664</v>
      </c>
      <c r="D14" s="151">
        <f t="shared" si="1"/>
        <v>0.19</v>
      </c>
      <c r="E14" s="151"/>
    </row>
    <row r="15" spans="1:24" ht="14.1" customHeight="1">
      <c r="A15" s="150">
        <f t="shared" si="0"/>
        <v>11</v>
      </c>
      <c r="B15" s="77" t="s">
        <v>3239</v>
      </c>
      <c r="C15" s="151" t="s">
        <v>1664</v>
      </c>
      <c r="D15" s="151">
        <f t="shared" si="1"/>
        <v>0.18</v>
      </c>
      <c r="E15" s="151"/>
    </row>
    <row r="16" spans="1:24" ht="14.1" customHeight="1">
      <c r="A16" s="150">
        <f t="shared" si="0"/>
        <v>12</v>
      </c>
      <c r="B16" s="77" t="s">
        <v>3258</v>
      </c>
      <c r="C16" s="151" t="s">
        <v>1664</v>
      </c>
      <c r="D16" s="151">
        <f t="shared" si="1"/>
        <v>0.23</v>
      </c>
      <c r="E16" s="151"/>
    </row>
    <row r="17" spans="1:5" ht="14.1" customHeight="1">
      <c r="A17" s="150">
        <f t="shared" si="0"/>
        <v>13</v>
      </c>
      <c r="B17" s="77" t="s">
        <v>3240</v>
      </c>
      <c r="C17" s="151" t="s">
        <v>1664</v>
      </c>
      <c r="D17" s="151">
        <f t="shared" si="1"/>
        <v>0.26</v>
      </c>
      <c r="E17" s="151"/>
    </row>
    <row r="18" spans="1:5" ht="14.1" customHeight="1">
      <c r="A18" s="150">
        <f t="shared" si="0"/>
        <v>14</v>
      </c>
      <c r="B18" s="15" t="s">
        <v>3167</v>
      </c>
      <c r="C18" s="152" t="s">
        <v>3168</v>
      </c>
      <c r="D18" s="151">
        <v>0.3</v>
      </c>
      <c r="E18" s="151"/>
    </row>
    <row r="19" spans="1:5" ht="14.1" customHeight="1">
      <c r="A19" s="150">
        <f t="shared" si="0"/>
        <v>15</v>
      </c>
      <c r="B19" s="101" t="s">
        <v>2110</v>
      </c>
      <c r="C19" s="151"/>
      <c r="D19" s="151"/>
      <c r="E19" s="151"/>
    </row>
    <row r="20" spans="1:5" ht="14.1" customHeight="1">
      <c r="A20" s="150">
        <f t="shared" si="0"/>
        <v>16</v>
      </c>
      <c r="B20" s="15" t="s">
        <v>1663</v>
      </c>
      <c r="C20" s="16" t="s">
        <v>1664</v>
      </c>
      <c r="D20" s="16">
        <v>0.46</v>
      </c>
    </row>
    <row r="21" spans="1:5" ht="14.1" customHeight="1">
      <c r="A21" s="150">
        <f t="shared" si="0"/>
        <v>17</v>
      </c>
      <c r="B21" s="77" t="s">
        <v>2359</v>
      </c>
      <c r="C21" s="16" t="s">
        <v>1664</v>
      </c>
      <c r="D21" s="16">
        <v>0.48</v>
      </c>
    </row>
    <row r="22" spans="1:5" ht="14.1" customHeight="1">
      <c r="A22" s="150">
        <f t="shared" si="0"/>
        <v>18</v>
      </c>
      <c r="B22" s="77" t="s">
        <v>3241</v>
      </c>
      <c r="C22" s="16" t="s">
        <v>1664</v>
      </c>
      <c r="D22" s="16">
        <v>0.57999999999999996</v>
      </c>
    </row>
    <row r="23" spans="1:5" ht="14.1" customHeight="1">
      <c r="A23" s="150">
        <f t="shared" si="0"/>
        <v>19</v>
      </c>
      <c r="B23" s="77" t="s">
        <v>3242</v>
      </c>
      <c r="C23" s="16" t="s">
        <v>1664</v>
      </c>
      <c r="D23" s="16">
        <v>0.69</v>
      </c>
    </row>
    <row r="24" spans="1:5" ht="14.1" customHeight="1">
      <c r="A24" s="150">
        <f t="shared" si="0"/>
        <v>20</v>
      </c>
      <c r="B24" s="15" t="s">
        <v>1665</v>
      </c>
      <c r="C24" s="16" t="s">
        <v>1405</v>
      </c>
      <c r="D24" s="16">
        <v>1.2</v>
      </c>
    </row>
    <row r="25" spans="1:5" ht="14.1" customHeight="1">
      <c r="A25" s="150">
        <f t="shared" si="0"/>
        <v>21</v>
      </c>
      <c r="B25" s="77" t="s">
        <v>3243</v>
      </c>
      <c r="C25" s="16" t="s">
        <v>1664</v>
      </c>
      <c r="D25" s="16">
        <v>0.47</v>
      </c>
    </row>
    <row r="26" spans="1:5" ht="14.1" customHeight="1">
      <c r="A26" s="150">
        <f t="shared" si="0"/>
        <v>22</v>
      </c>
      <c r="B26" s="77" t="s">
        <v>3244</v>
      </c>
      <c r="C26" s="16" t="s">
        <v>1664</v>
      </c>
      <c r="D26" s="16">
        <v>0.48</v>
      </c>
    </row>
    <row r="27" spans="1:5" ht="14.1" customHeight="1">
      <c r="A27" s="14">
        <f t="shared" ref="A27:A87" si="2">A26+1</f>
        <v>23</v>
      </c>
      <c r="B27" s="77" t="s">
        <v>3245</v>
      </c>
      <c r="C27" s="16" t="s">
        <v>1664</v>
      </c>
      <c r="D27" s="16">
        <v>0.49</v>
      </c>
    </row>
    <row r="28" spans="1:5" ht="14.1" customHeight="1">
      <c r="A28" s="14">
        <f t="shared" si="2"/>
        <v>24</v>
      </c>
      <c r="B28" s="15" t="s">
        <v>1666</v>
      </c>
      <c r="C28" s="16" t="s">
        <v>1405</v>
      </c>
      <c r="D28" s="16">
        <v>0.63</v>
      </c>
    </row>
    <row r="29" spans="1:5" ht="14.1" customHeight="1">
      <c r="A29" s="14">
        <f t="shared" si="2"/>
        <v>25</v>
      </c>
      <c r="B29" s="77" t="s">
        <v>3246</v>
      </c>
      <c r="C29" s="16" t="s">
        <v>1664</v>
      </c>
      <c r="D29" s="16">
        <v>0.46</v>
      </c>
    </row>
    <row r="30" spans="1:5" ht="14.1" customHeight="1">
      <c r="A30" s="14">
        <f t="shared" si="2"/>
        <v>26</v>
      </c>
      <c r="B30" s="77" t="s">
        <v>3247</v>
      </c>
      <c r="C30" s="16" t="s">
        <v>1664</v>
      </c>
      <c r="D30" s="16">
        <v>0.46</v>
      </c>
    </row>
    <row r="31" spans="1:5" ht="14.1" customHeight="1">
      <c r="A31" s="14">
        <f t="shared" si="2"/>
        <v>27</v>
      </c>
      <c r="B31" s="77" t="s">
        <v>3248</v>
      </c>
      <c r="C31" s="16" t="s">
        <v>1664</v>
      </c>
      <c r="D31" s="16">
        <v>0.46</v>
      </c>
    </row>
    <row r="32" spans="1:5" ht="14.1" customHeight="1">
      <c r="A32" s="14">
        <f t="shared" si="2"/>
        <v>28</v>
      </c>
      <c r="B32" s="15" t="s">
        <v>1667</v>
      </c>
      <c r="C32" s="16" t="s">
        <v>1405</v>
      </c>
      <c r="D32" s="16">
        <v>0.57999999999999996</v>
      </c>
    </row>
    <row r="33" spans="1:4" ht="14.1" customHeight="1">
      <c r="A33" s="14">
        <f t="shared" si="2"/>
        <v>29</v>
      </c>
      <c r="B33" s="77" t="s">
        <v>3249</v>
      </c>
      <c r="C33" s="16" t="s">
        <v>1664</v>
      </c>
      <c r="D33" s="16">
        <v>0.44</v>
      </c>
    </row>
    <row r="34" spans="1:4" ht="14.1" customHeight="1">
      <c r="A34" s="14">
        <f t="shared" si="2"/>
        <v>30</v>
      </c>
      <c r="B34" s="77" t="s">
        <v>3250</v>
      </c>
      <c r="C34" s="16" t="s">
        <v>1664</v>
      </c>
      <c r="D34" s="16">
        <v>0.42</v>
      </c>
    </row>
    <row r="35" spans="1:4" ht="14.1" customHeight="1">
      <c r="A35" s="14">
        <f t="shared" si="2"/>
        <v>31</v>
      </c>
      <c r="B35" s="77" t="s">
        <v>3251</v>
      </c>
      <c r="C35" s="16" t="s">
        <v>1664</v>
      </c>
      <c r="D35" s="16">
        <v>0.39</v>
      </c>
    </row>
    <row r="36" spans="1:4" ht="14.1" customHeight="1">
      <c r="A36" s="14">
        <f t="shared" si="2"/>
        <v>32</v>
      </c>
      <c r="B36" s="15" t="s">
        <v>1668</v>
      </c>
      <c r="C36" s="16" t="s">
        <v>1405</v>
      </c>
      <c r="D36" s="16">
        <v>0.48</v>
      </c>
    </row>
    <row r="37" spans="1:4" ht="14.1" customHeight="1">
      <c r="A37" s="14">
        <f t="shared" si="2"/>
        <v>33</v>
      </c>
      <c r="B37" s="15" t="s">
        <v>1669</v>
      </c>
      <c r="C37" s="16" t="s">
        <v>1664</v>
      </c>
      <c r="D37" s="16">
        <v>0.16</v>
      </c>
    </row>
    <row r="38" spans="1:4" ht="14.1" customHeight="1">
      <c r="A38" s="14">
        <f t="shared" si="2"/>
        <v>34</v>
      </c>
      <c r="B38" s="77" t="s">
        <v>3252</v>
      </c>
      <c r="C38" s="16" t="s">
        <v>1664</v>
      </c>
      <c r="D38" s="16">
        <v>0.21</v>
      </c>
    </row>
    <row r="39" spans="1:4" ht="14.1" customHeight="1">
      <c r="A39" s="14">
        <f t="shared" si="2"/>
        <v>35</v>
      </c>
      <c r="B39" s="77" t="s">
        <v>3253</v>
      </c>
      <c r="C39" s="16" t="s">
        <v>1664</v>
      </c>
      <c r="D39" s="16">
        <v>0.39</v>
      </c>
    </row>
    <row r="40" spans="1:4" ht="14.1" customHeight="1">
      <c r="A40" s="14">
        <f t="shared" si="2"/>
        <v>36</v>
      </c>
      <c r="B40" s="77" t="s">
        <v>3254</v>
      </c>
      <c r="C40" s="16" t="s">
        <v>1664</v>
      </c>
      <c r="D40" s="16">
        <v>0.57999999999999996</v>
      </c>
    </row>
    <row r="41" spans="1:4" ht="14.1" customHeight="1">
      <c r="A41" s="14">
        <f t="shared" si="2"/>
        <v>37</v>
      </c>
      <c r="B41" s="77" t="s">
        <v>1670</v>
      </c>
      <c r="C41" s="16" t="s">
        <v>1405</v>
      </c>
      <c r="D41" s="16">
        <v>1.2</v>
      </c>
    </row>
    <row r="42" spans="1:4" ht="14.1" customHeight="1">
      <c r="A42" s="14">
        <f t="shared" si="2"/>
        <v>38</v>
      </c>
      <c r="B42" s="77" t="s">
        <v>3236</v>
      </c>
      <c r="C42" s="16" t="s">
        <v>1664</v>
      </c>
      <c r="D42" s="16">
        <v>0.2</v>
      </c>
    </row>
    <row r="43" spans="1:4" ht="14.1" customHeight="1">
      <c r="A43" s="14">
        <f t="shared" si="2"/>
        <v>39</v>
      </c>
      <c r="B43" s="77" t="s">
        <v>3237</v>
      </c>
      <c r="C43" s="16" t="s">
        <v>1664</v>
      </c>
      <c r="D43" s="16">
        <v>0.28000000000000003</v>
      </c>
    </row>
    <row r="44" spans="1:4" ht="14.1" customHeight="1">
      <c r="A44" s="14">
        <f t="shared" si="2"/>
        <v>40</v>
      </c>
      <c r="B44" s="77" t="s">
        <v>3255</v>
      </c>
      <c r="C44" s="16" t="s">
        <v>1664</v>
      </c>
      <c r="D44" s="16">
        <v>0.38</v>
      </c>
    </row>
    <row r="45" spans="1:4" ht="14.1" customHeight="1">
      <c r="A45" s="14">
        <f t="shared" si="2"/>
        <v>41</v>
      </c>
      <c r="B45" s="15" t="s">
        <v>1671</v>
      </c>
      <c r="C45" s="16" t="s">
        <v>1405</v>
      </c>
      <c r="D45" s="16">
        <v>0.63</v>
      </c>
    </row>
    <row r="46" spans="1:4" ht="14.1" customHeight="1">
      <c r="A46" s="14">
        <f t="shared" si="2"/>
        <v>42</v>
      </c>
      <c r="B46" s="77" t="s">
        <v>3238</v>
      </c>
      <c r="C46" s="16" t="s">
        <v>1664</v>
      </c>
      <c r="D46" s="16">
        <v>0.19</v>
      </c>
    </row>
    <row r="47" spans="1:4" ht="14.1" customHeight="1">
      <c r="A47" s="14">
        <f t="shared" si="2"/>
        <v>43</v>
      </c>
      <c r="B47" s="77" t="s">
        <v>3256</v>
      </c>
      <c r="C47" s="16" t="s">
        <v>1664</v>
      </c>
      <c r="D47" s="16">
        <v>0.26</v>
      </c>
    </row>
    <row r="48" spans="1:4" ht="14.1" customHeight="1">
      <c r="A48" s="14">
        <f t="shared" si="2"/>
        <v>44</v>
      </c>
      <c r="B48" s="77" t="s">
        <v>3257</v>
      </c>
      <c r="C48" s="16" t="s">
        <v>1664</v>
      </c>
      <c r="D48" s="16">
        <v>0.35</v>
      </c>
    </row>
    <row r="49" spans="1:4" ht="14.1" customHeight="1">
      <c r="A49" s="14">
        <f t="shared" si="2"/>
        <v>45</v>
      </c>
      <c r="B49" s="15" t="s">
        <v>1672</v>
      </c>
      <c r="C49" s="16" t="s">
        <v>1405</v>
      </c>
      <c r="D49" s="16">
        <v>0.57999999999999996</v>
      </c>
    </row>
    <row r="50" spans="1:4" ht="14.1" customHeight="1">
      <c r="A50" s="14">
        <f t="shared" si="2"/>
        <v>46</v>
      </c>
      <c r="B50" s="77" t="s">
        <v>3239</v>
      </c>
      <c r="C50" s="16" t="s">
        <v>1664</v>
      </c>
      <c r="D50" s="16">
        <v>0.18</v>
      </c>
    </row>
    <row r="51" spans="1:4" ht="14.1" customHeight="1">
      <c r="A51" s="14">
        <f t="shared" si="2"/>
        <v>47</v>
      </c>
      <c r="B51" s="77" t="s">
        <v>3258</v>
      </c>
      <c r="C51" s="16" t="s">
        <v>1664</v>
      </c>
      <c r="D51" s="16">
        <v>0.23</v>
      </c>
    </row>
    <row r="52" spans="1:4" ht="14.1" customHeight="1">
      <c r="A52" s="14">
        <f t="shared" si="2"/>
        <v>48</v>
      </c>
      <c r="B52" s="77" t="s">
        <v>3240</v>
      </c>
      <c r="C52" s="16" t="s">
        <v>1664</v>
      </c>
      <c r="D52" s="16">
        <v>0.26</v>
      </c>
    </row>
    <row r="53" spans="1:4" ht="14.1" customHeight="1">
      <c r="A53" s="14">
        <f t="shared" si="2"/>
        <v>49</v>
      </c>
      <c r="B53" s="15" t="s">
        <v>1673</v>
      </c>
      <c r="C53" s="16" t="s">
        <v>1405</v>
      </c>
      <c r="D53" s="16">
        <v>0.48</v>
      </c>
    </row>
    <row r="54" spans="1:4" ht="14.1" customHeight="1">
      <c r="A54" s="14">
        <f t="shared" si="2"/>
        <v>50</v>
      </c>
      <c r="B54" s="15" t="s">
        <v>1674</v>
      </c>
      <c r="C54" s="16" t="s">
        <v>1664</v>
      </c>
      <c r="D54" s="16">
        <v>0.37</v>
      </c>
    </row>
    <row r="55" spans="1:4" ht="14.1" customHeight="1">
      <c r="A55" s="14">
        <f t="shared" si="2"/>
        <v>51</v>
      </c>
      <c r="B55" s="77" t="s">
        <v>3259</v>
      </c>
      <c r="C55" s="16" t="s">
        <v>1664</v>
      </c>
      <c r="D55" s="16">
        <v>0.44</v>
      </c>
    </row>
    <row r="56" spans="1:4" ht="14.1" customHeight="1">
      <c r="A56" s="14">
        <f t="shared" si="2"/>
        <v>52</v>
      </c>
      <c r="B56" s="77" t="s">
        <v>3260</v>
      </c>
      <c r="C56" s="16" t="s">
        <v>1664</v>
      </c>
      <c r="D56" s="16">
        <v>0.55000000000000004</v>
      </c>
    </row>
    <row r="57" spans="1:4" ht="14.1" customHeight="1">
      <c r="A57" s="14">
        <f t="shared" si="2"/>
        <v>53</v>
      </c>
      <c r="B57" s="77" t="s">
        <v>3261</v>
      </c>
      <c r="C57" s="16" t="s">
        <v>1664</v>
      </c>
      <c r="D57" s="16">
        <v>0.71</v>
      </c>
    </row>
    <row r="58" spans="1:4" ht="14.1" customHeight="1">
      <c r="A58" s="14">
        <f t="shared" si="2"/>
        <v>54</v>
      </c>
      <c r="B58" s="15" t="s">
        <v>1675</v>
      </c>
      <c r="C58" s="16" t="s">
        <v>1405</v>
      </c>
      <c r="D58" s="16">
        <v>1.2</v>
      </c>
    </row>
    <row r="59" spans="1:4" ht="14.1" customHeight="1">
      <c r="A59" s="14">
        <f t="shared" si="2"/>
        <v>55</v>
      </c>
      <c r="B59" s="77" t="s">
        <v>3262</v>
      </c>
      <c r="C59" s="16" t="s">
        <v>1664</v>
      </c>
      <c r="D59" s="16">
        <v>0.42</v>
      </c>
    </row>
    <row r="60" spans="1:4" ht="14.1" customHeight="1">
      <c r="A60" s="14">
        <f t="shared" si="2"/>
        <v>56</v>
      </c>
      <c r="B60" s="77" t="s">
        <v>3263</v>
      </c>
      <c r="C60" s="16" t="s">
        <v>1664</v>
      </c>
      <c r="D60" s="16">
        <v>0.5</v>
      </c>
    </row>
    <row r="61" spans="1:4" ht="14.1" customHeight="1">
      <c r="A61" s="14">
        <f t="shared" si="2"/>
        <v>57</v>
      </c>
      <c r="B61" s="77" t="s">
        <v>3264</v>
      </c>
      <c r="C61" s="16" t="s">
        <v>1664</v>
      </c>
      <c r="D61" s="16">
        <v>0.59</v>
      </c>
    </row>
    <row r="62" spans="1:4" ht="14.1" customHeight="1">
      <c r="A62" s="14">
        <f t="shared" si="2"/>
        <v>58</v>
      </c>
      <c r="B62" s="15" t="s">
        <v>1676</v>
      </c>
      <c r="C62" s="16" t="s">
        <v>1405</v>
      </c>
      <c r="D62" s="16">
        <v>0.92</v>
      </c>
    </row>
    <row r="63" spans="1:4" ht="14.1" customHeight="1">
      <c r="A63" s="14">
        <f t="shared" si="2"/>
        <v>59</v>
      </c>
      <c r="B63" s="77" t="s">
        <v>3265</v>
      </c>
      <c r="C63" s="16" t="s">
        <v>1664</v>
      </c>
      <c r="D63" s="16">
        <v>0.41</v>
      </c>
    </row>
    <row r="64" spans="1:4" ht="14.1" customHeight="1">
      <c r="A64" s="14">
        <f t="shared" si="2"/>
        <v>60</v>
      </c>
      <c r="B64" s="15" t="s">
        <v>3270</v>
      </c>
      <c r="C64" s="16" t="s">
        <v>1664</v>
      </c>
      <c r="D64" s="16">
        <v>0.48</v>
      </c>
    </row>
    <row r="65" spans="1:6" ht="14.1" customHeight="1">
      <c r="A65" s="14">
        <f t="shared" si="2"/>
        <v>61</v>
      </c>
      <c r="B65" s="15" t="s">
        <v>3266</v>
      </c>
      <c r="C65" s="16" t="s">
        <v>1664</v>
      </c>
      <c r="D65" s="16">
        <v>0.56000000000000005</v>
      </c>
    </row>
    <row r="66" spans="1:6" ht="14.1" customHeight="1">
      <c r="A66" s="14">
        <f t="shared" si="2"/>
        <v>62</v>
      </c>
      <c r="B66" s="15" t="s">
        <v>1677</v>
      </c>
      <c r="C66" s="16" t="s">
        <v>1405</v>
      </c>
      <c r="D66" s="16">
        <v>0.86</v>
      </c>
    </row>
    <row r="67" spans="1:6" ht="14.1" customHeight="1">
      <c r="A67" s="14">
        <f t="shared" si="2"/>
        <v>63</v>
      </c>
      <c r="B67" s="15" t="s">
        <v>3267</v>
      </c>
      <c r="C67" s="16" t="s">
        <v>1664</v>
      </c>
      <c r="D67" s="16">
        <v>0.39</v>
      </c>
    </row>
    <row r="68" spans="1:6" ht="14.1" customHeight="1">
      <c r="A68" s="14">
        <f t="shared" si="2"/>
        <v>64</v>
      </c>
      <c r="B68" s="15" t="s">
        <v>3268</v>
      </c>
      <c r="C68" s="16" t="s">
        <v>1664</v>
      </c>
      <c r="D68" s="16">
        <v>0.44</v>
      </c>
    </row>
    <row r="69" spans="1:6" ht="14.1" customHeight="1">
      <c r="A69" s="14">
        <f t="shared" si="2"/>
        <v>65</v>
      </c>
      <c r="B69" s="15" t="s">
        <v>3269</v>
      </c>
      <c r="C69" s="16" t="s">
        <v>1664</v>
      </c>
      <c r="D69" s="16">
        <v>0.48</v>
      </c>
    </row>
    <row r="70" spans="1:6" ht="14.1" customHeight="1">
      <c r="A70" s="14">
        <f t="shared" si="2"/>
        <v>66</v>
      </c>
      <c r="B70" s="15" t="s">
        <v>1678</v>
      </c>
      <c r="C70" s="16" t="s">
        <v>1405</v>
      </c>
      <c r="D70" s="16">
        <v>0.79</v>
      </c>
    </row>
    <row r="71" spans="1:6" ht="40.5" customHeight="1">
      <c r="A71" s="14">
        <f t="shared" si="2"/>
        <v>67</v>
      </c>
      <c r="B71" s="1054" t="str">
        <f>'Flat-Vaulted Ceilings'!B339</f>
        <v xml:space="preserve">== Custom Entries per WSEC R402.1.5 U-factor Reference and Calculations ========  </v>
      </c>
      <c r="D71" s="439" t="s">
        <v>2428</v>
      </c>
      <c r="E71" s="441" t="s">
        <v>2353</v>
      </c>
      <c r="F71" s="1055" t="str">
        <f>'Flat-Vaulted Ceilings'!$F$339</f>
        <v>Your entries appear at bottom of drowdown menus on "Group R" tab</v>
      </c>
    </row>
    <row r="72" spans="1:6" ht="14.1" customHeight="1">
      <c r="A72" s="14">
        <f t="shared" si="2"/>
        <v>68</v>
      </c>
      <c r="B72" s="39" t="s">
        <v>2577</v>
      </c>
      <c r="C72" s="16" t="s">
        <v>1679</v>
      </c>
      <c r="D72" s="19">
        <v>0.27</v>
      </c>
      <c r="E72" s="426" t="s">
        <v>2538</v>
      </c>
      <c r="F72" s="203" t="str">
        <f t="shared" ref="F72:F118" si="3">IF(AND(B73&lt;&gt;"",B72=""),"Don't skip lines",IF(AND(D72="",B72&lt;&gt;""),"Enter U-value",IF(AND(D72&lt;&gt;"",B72=""),"Enter Description","")))</f>
        <v/>
      </c>
    </row>
    <row r="73" spans="1:6" ht="14.1" customHeight="1">
      <c r="A73" s="14">
        <f t="shared" si="2"/>
        <v>69</v>
      </c>
      <c r="B73" s="39" t="s">
        <v>2578</v>
      </c>
      <c r="C73" s="16" t="s">
        <v>1679</v>
      </c>
      <c r="D73" s="19">
        <v>0.3</v>
      </c>
      <c r="E73" s="426"/>
      <c r="F73" s="203" t="str">
        <f t="shared" si="3"/>
        <v/>
      </c>
    </row>
    <row r="74" spans="1:6" ht="14.1" customHeight="1">
      <c r="A74" s="14">
        <f t="shared" si="2"/>
        <v>70</v>
      </c>
      <c r="B74" s="39" t="s">
        <v>2823</v>
      </c>
      <c r="C74" s="16" t="s">
        <v>1679</v>
      </c>
      <c r="D74" s="19">
        <v>0.55000000000000004</v>
      </c>
      <c r="E74" s="620"/>
      <c r="F74" s="203" t="str">
        <f t="shared" si="3"/>
        <v/>
      </c>
    </row>
    <row r="75" spans="1:6" ht="14.1" customHeight="1">
      <c r="A75" s="14">
        <f t="shared" si="2"/>
        <v>71</v>
      </c>
      <c r="B75" s="39" t="s">
        <v>2834</v>
      </c>
      <c r="C75" s="16" t="s">
        <v>1679</v>
      </c>
      <c r="D75" s="19">
        <v>0.16</v>
      </c>
      <c r="E75" s="19"/>
      <c r="F75" s="203" t="str">
        <f t="shared" si="3"/>
        <v/>
      </c>
    </row>
    <row r="76" spans="1:6" ht="14.1" customHeight="1">
      <c r="A76" s="14">
        <f t="shared" si="2"/>
        <v>72</v>
      </c>
      <c r="B76" s="39" t="s">
        <v>2844</v>
      </c>
      <c r="C76" s="16" t="s">
        <v>1679</v>
      </c>
      <c r="D76" s="19">
        <v>0.17</v>
      </c>
      <c r="E76" s="19"/>
      <c r="F76" s="203" t="str">
        <f t="shared" si="3"/>
        <v/>
      </c>
    </row>
    <row r="77" spans="1:6" ht="14.1" customHeight="1">
      <c r="A77" s="14">
        <f t="shared" si="2"/>
        <v>73</v>
      </c>
      <c r="B77" s="39" t="s">
        <v>2845</v>
      </c>
      <c r="C77" s="16" t="s">
        <v>1679</v>
      </c>
      <c r="D77" s="19">
        <v>0.18</v>
      </c>
      <c r="E77" s="19"/>
      <c r="F77" s="203" t="str">
        <f t="shared" si="3"/>
        <v/>
      </c>
    </row>
    <row r="78" spans="1:6" ht="14.1" customHeight="1">
      <c r="A78" s="14">
        <f t="shared" si="2"/>
        <v>74</v>
      </c>
      <c r="B78" s="39" t="s">
        <v>2846</v>
      </c>
      <c r="C78" s="16" t="s">
        <v>1679</v>
      </c>
      <c r="D78" s="19">
        <v>0.27</v>
      </c>
      <c r="E78" s="19"/>
      <c r="F78" s="203" t="str">
        <f t="shared" si="3"/>
        <v/>
      </c>
    </row>
    <row r="79" spans="1:6" ht="14.1" customHeight="1">
      <c r="A79" s="14">
        <f t="shared" si="2"/>
        <v>75</v>
      </c>
      <c r="B79" s="39" t="s">
        <v>2785</v>
      </c>
      <c r="C79" s="16" t="s">
        <v>1679</v>
      </c>
      <c r="D79" s="19">
        <v>0.28999999999999998</v>
      </c>
      <c r="E79" s="19"/>
      <c r="F79" s="203" t="str">
        <f t="shared" si="3"/>
        <v/>
      </c>
    </row>
    <row r="80" spans="1:6" ht="14.1" customHeight="1">
      <c r="A80" s="14">
        <f t="shared" si="2"/>
        <v>76</v>
      </c>
      <c r="B80" s="18" t="s">
        <v>2849</v>
      </c>
      <c r="C80" s="16" t="s">
        <v>1679</v>
      </c>
      <c r="D80" s="19">
        <v>0.15</v>
      </c>
      <c r="E80" s="19"/>
      <c r="F80" s="203" t="str">
        <f t="shared" si="3"/>
        <v/>
      </c>
    </row>
    <row r="81" spans="1:6" ht="14.1" customHeight="1">
      <c r="A81" s="14">
        <f t="shared" si="2"/>
        <v>77</v>
      </c>
      <c r="B81" s="18"/>
      <c r="C81" s="16" t="s">
        <v>1679</v>
      </c>
      <c r="D81" s="19"/>
      <c r="E81" s="19"/>
      <c r="F81" s="203" t="str">
        <f t="shared" si="3"/>
        <v/>
      </c>
    </row>
    <row r="82" spans="1:6" ht="14.1" customHeight="1">
      <c r="A82" s="14">
        <f t="shared" si="2"/>
        <v>78</v>
      </c>
      <c r="B82" s="18"/>
      <c r="C82" s="16" t="s">
        <v>1679</v>
      </c>
      <c r="D82" s="19"/>
      <c r="E82" s="19"/>
      <c r="F82" s="203" t="str">
        <f t="shared" si="3"/>
        <v/>
      </c>
    </row>
    <row r="83" spans="1:6" ht="14.1" customHeight="1">
      <c r="A83" s="14">
        <f t="shared" si="2"/>
        <v>79</v>
      </c>
      <c r="B83" s="18"/>
      <c r="C83" s="16" t="s">
        <v>1679</v>
      </c>
      <c r="D83" s="19"/>
      <c r="E83" s="19"/>
      <c r="F83" s="203" t="str">
        <f t="shared" si="3"/>
        <v/>
      </c>
    </row>
    <row r="84" spans="1:6" ht="14.1" customHeight="1">
      <c r="A84" s="14">
        <f t="shared" si="2"/>
        <v>80</v>
      </c>
      <c r="B84" s="18"/>
      <c r="C84" s="16" t="s">
        <v>1679</v>
      </c>
      <c r="D84" s="19"/>
      <c r="E84" s="19"/>
      <c r="F84" s="203" t="str">
        <f t="shared" si="3"/>
        <v/>
      </c>
    </row>
    <row r="85" spans="1:6" ht="14.1" customHeight="1">
      <c r="A85" s="14">
        <f t="shared" si="2"/>
        <v>81</v>
      </c>
      <c r="B85" s="18"/>
      <c r="C85" s="16" t="s">
        <v>1679</v>
      </c>
      <c r="D85" s="19"/>
      <c r="E85" s="19"/>
      <c r="F85" s="203" t="str">
        <f t="shared" si="3"/>
        <v/>
      </c>
    </row>
    <row r="86" spans="1:6" ht="14.1" customHeight="1">
      <c r="A86" s="14">
        <f t="shared" si="2"/>
        <v>82</v>
      </c>
      <c r="B86" s="18"/>
      <c r="C86" s="16" t="s">
        <v>1679</v>
      </c>
      <c r="D86" s="19"/>
      <c r="E86" s="19"/>
      <c r="F86" s="203" t="str">
        <f t="shared" si="3"/>
        <v/>
      </c>
    </row>
    <row r="87" spans="1:6" ht="14.1" customHeight="1">
      <c r="A87" s="14">
        <f t="shared" si="2"/>
        <v>83</v>
      </c>
      <c r="B87" s="18"/>
      <c r="C87" s="16" t="s">
        <v>1679</v>
      </c>
      <c r="D87" s="19"/>
      <c r="E87" s="19"/>
      <c r="F87" s="203" t="str">
        <f t="shared" si="3"/>
        <v/>
      </c>
    </row>
    <row r="88" spans="1:6" ht="14.1" customHeight="1">
      <c r="A88" s="14">
        <f t="shared" ref="A88:A118" si="4">A87+1</f>
        <v>84</v>
      </c>
      <c r="B88" s="18"/>
      <c r="C88" s="16" t="s">
        <v>1679</v>
      </c>
      <c r="D88" s="19"/>
      <c r="E88" s="19"/>
      <c r="F88" s="203" t="str">
        <f t="shared" si="3"/>
        <v/>
      </c>
    </row>
    <row r="89" spans="1:6" ht="14.1" customHeight="1">
      <c r="A89" s="14">
        <f t="shared" si="4"/>
        <v>85</v>
      </c>
      <c r="B89" s="18"/>
      <c r="C89" s="16" t="s">
        <v>1679</v>
      </c>
      <c r="D89" s="19"/>
      <c r="E89" s="19"/>
      <c r="F89" s="203" t="str">
        <f t="shared" si="3"/>
        <v/>
      </c>
    </row>
    <row r="90" spans="1:6" ht="14.1" customHeight="1">
      <c r="A90" s="14">
        <f t="shared" si="4"/>
        <v>86</v>
      </c>
      <c r="B90" s="18"/>
      <c r="C90" s="16" t="s">
        <v>1679</v>
      </c>
      <c r="D90" s="19"/>
      <c r="E90" s="19"/>
      <c r="F90" s="203" t="str">
        <f t="shared" si="3"/>
        <v/>
      </c>
    </row>
    <row r="91" spans="1:6" ht="14.1" customHeight="1">
      <c r="A91" s="14">
        <f t="shared" si="4"/>
        <v>87</v>
      </c>
      <c r="B91" s="18"/>
      <c r="C91" s="16" t="s">
        <v>1679</v>
      </c>
      <c r="D91" s="19"/>
      <c r="E91" s="19"/>
      <c r="F91" s="203" t="str">
        <f t="shared" si="3"/>
        <v/>
      </c>
    </row>
    <row r="92" spans="1:6" ht="14.1" customHeight="1">
      <c r="A92" s="14">
        <f t="shared" si="4"/>
        <v>88</v>
      </c>
      <c r="B92" s="18"/>
      <c r="C92" s="16" t="s">
        <v>1679</v>
      </c>
      <c r="D92" s="19"/>
      <c r="E92" s="19"/>
      <c r="F92" s="203" t="str">
        <f t="shared" si="3"/>
        <v/>
      </c>
    </row>
    <row r="93" spans="1:6" ht="14.1" customHeight="1">
      <c r="A93" s="14">
        <f t="shared" si="4"/>
        <v>89</v>
      </c>
      <c r="B93" s="18"/>
      <c r="C93" s="16" t="s">
        <v>1679</v>
      </c>
      <c r="D93" s="19"/>
      <c r="E93" s="19"/>
      <c r="F93" s="203" t="str">
        <f t="shared" si="3"/>
        <v/>
      </c>
    </row>
    <row r="94" spans="1:6" ht="14.1" customHeight="1">
      <c r="A94" s="14">
        <f t="shared" si="4"/>
        <v>90</v>
      </c>
      <c r="B94" s="18"/>
      <c r="C94" s="16" t="s">
        <v>1679</v>
      </c>
      <c r="D94" s="19"/>
      <c r="E94" s="19"/>
      <c r="F94" s="203" t="str">
        <f t="shared" si="3"/>
        <v/>
      </c>
    </row>
    <row r="95" spans="1:6" ht="14.1" customHeight="1">
      <c r="A95" s="14">
        <f t="shared" si="4"/>
        <v>91</v>
      </c>
      <c r="B95" s="18"/>
      <c r="C95" s="16" t="s">
        <v>1679</v>
      </c>
      <c r="D95" s="19"/>
      <c r="E95" s="19"/>
      <c r="F95" s="203" t="str">
        <f t="shared" si="3"/>
        <v/>
      </c>
    </row>
    <row r="96" spans="1:6" ht="14.1" customHeight="1">
      <c r="A96" s="14">
        <f t="shared" si="4"/>
        <v>92</v>
      </c>
      <c r="B96" s="18"/>
      <c r="C96" s="16" t="s">
        <v>1679</v>
      </c>
      <c r="D96" s="19"/>
      <c r="E96" s="19"/>
      <c r="F96" s="203" t="str">
        <f t="shared" si="3"/>
        <v/>
      </c>
    </row>
    <row r="97" spans="1:6" ht="14.1" customHeight="1">
      <c r="A97" s="14">
        <f t="shared" si="4"/>
        <v>93</v>
      </c>
      <c r="B97" s="18"/>
      <c r="C97" s="16" t="s">
        <v>1679</v>
      </c>
      <c r="D97" s="19"/>
      <c r="E97" s="19"/>
      <c r="F97" s="203" t="str">
        <f t="shared" si="3"/>
        <v/>
      </c>
    </row>
    <row r="98" spans="1:6" ht="14.1" customHeight="1">
      <c r="A98" s="14">
        <f t="shared" si="4"/>
        <v>94</v>
      </c>
      <c r="B98" s="18"/>
      <c r="C98" s="16" t="s">
        <v>1679</v>
      </c>
      <c r="D98" s="19"/>
      <c r="E98" s="19"/>
      <c r="F98" s="203" t="str">
        <f t="shared" si="3"/>
        <v/>
      </c>
    </row>
    <row r="99" spans="1:6" ht="14.1" customHeight="1">
      <c r="A99" s="14">
        <f t="shared" si="4"/>
        <v>95</v>
      </c>
      <c r="B99" s="18"/>
      <c r="C99" s="16" t="s">
        <v>1679</v>
      </c>
      <c r="D99" s="19"/>
      <c r="E99" s="19"/>
      <c r="F99" s="203" t="str">
        <f t="shared" si="3"/>
        <v/>
      </c>
    </row>
    <row r="100" spans="1:6" ht="14.1" customHeight="1">
      <c r="A100" s="14">
        <f t="shared" si="4"/>
        <v>96</v>
      </c>
      <c r="B100" s="18"/>
      <c r="C100" s="16" t="s">
        <v>1679</v>
      </c>
      <c r="D100" s="19"/>
      <c r="E100" s="19"/>
      <c r="F100" s="203" t="str">
        <f t="shared" si="3"/>
        <v/>
      </c>
    </row>
    <row r="101" spans="1:6" ht="14.1" customHeight="1">
      <c r="A101" s="14">
        <f t="shared" si="4"/>
        <v>97</v>
      </c>
      <c r="B101" s="18"/>
      <c r="C101" s="16" t="s">
        <v>1679</v>
      </c>
      <c r="D101" s="19"/>
      <c r="E101" s="19"/>
      <c r="F101" s="203" t="str">
        <f t="shared" si="3"/>
        <v/>
      </c>
    </row>
    <row r="102" spans="1:6" ht="14.1" customHeight="1">
      <c r="A102" s="14">
        <f t="shared" si="4"/>
        <v>98</v>
      </c>
      <c r="B102" s="18"/>
      <c r="C102" s="16" t="s">
        <v>1679</v>
      </c>
      <c r="D102" s="19"/>
      <c r="E102" s="19"/>
      <c r="F102" s="203" t="str">
        <f t="shared" si="3"/>
        <v/>
      </c>
    </row>
    <row r="103" spans="1:6" ht="14.1" customHeight="1">
      <c r="A103" s="14">
        <f t="shared" si="4"/>
        <v>99</v>
      </c>
      <c r="B103" s="18"/>
      <c r="C103" s="16" t="s">
        <v>1679</v>
      </c>
      <c r="D103" s="19"/>
      <c r="E103" s="19"/>
      <c r="F103" s="203" t="str">
        <f t="shared" si="3"/>
        <v/>
      </c>
    </row>
    <row r="104" spans="1:6" ht="14.1" customHeight="1">
      <c r="A104" s="14">
        <f t="shared" si="4"/>
        <v>100</v>
      </c>
      <c r="B104" s="18"/>
      <c r="C104" s="16" t="s">
        <v>1679</v>
      </c>
      <c r="D104" s="19"/>
      <c r="E104" s="19"/>
      <c r="F104" s="203" t="str">
        <f t="shared" si="3"/>
        <v/>
      </c>
    </row>
    <row r="105" spans="1:6" ht="14.1" customHeight="1">
      <c r="A105" s="14">
        <f t="shared" si="4"/>
        <v>101</v>
      </c>
      <c r="B105" s="18"/>
      <c r="C105" s="16" t="s">
        <v>1679</v>
      </c>
      <c r="D105" s="19"/>
      <c r="E105" s="19"/>
      <c r="F105" s="203" t="str">
        <f t="shared" si="3"/>
        <v/>
      </c>
    </row>
    <row r="106" spans="1:6" ht="14.1" customHeight="1">
      <c r="A106" s="14">
        <f t="shared" si="4"/>
        <v>102</v>
      </c>
      <c r="B106" s="18"/>
      <c r="C106" s="16" t="s">
        <v>1679</v>
      </c>
      <c r="D106" s="19"/>
      <c r="E106" s="19"/>
      <c r="F106" s="203" t="str">
        <f t="shared" si="3"/>
        <v/>
      </c>
    </row>
    <row r="107" spans="1:6" ht="14.1" customHeight="1">
      <c r="A107" s="14">
        <f t="shared" si="4"/>
        <v>103</v>
      </c>
      <c r="B107" s="18"/>
      <c r="C107" s="16" t="s">
        <v>1679</v>
      </c>
      <c r="D107" s="19"/>
      <c r="E107" s="19"/>
      <c r="F107" s="203" t="str">
        <f t="shared" si="3"/>
        <v/>
      </c>
    </row>
    <row r="108" spans="1:6" ht="14.1" customHeight="1">
      <c r="A108" s="14">
        <f t="shared" si="4"/>
        <v>104</v>
      </c>
      <c r="B108" s="18"/>
      <c r="C108" s="16" t="s">
        <v>1679</v>
      </c>
      <c r="D108" s="19"/>
      <c r="E108" s="19"/>
      <c r="F108" s="203" t="str">
        <f t="shared" si="3"/>
        <v/>
      </c>
    </row>
    <row r="109" spans="1:6" ht="14.1" customHeight="1">
      <c r="A109" s="14">
        <f t="shared" si="4"/>
        <v>105</v>
      </c>
      <c r="B109" s="18"/>
      <c r="C109" s="16" t="s">
        <v>1679</v>
      </c>
      <c r="D109" s="19"/>
      <c r="E109" s="19"/>
      <c r="F109" s="203" t="str">
        <f t="shared" si="3"/>
        <v/>
      </c>
    </row>
    <row r="110" spans="1:6" ht="14.1" customHeight="1">
      <c r="A110" s="14">
        <f t="shared" si="4"/>
        <v>106</v>
      </c>
      <c r="B110" s="18"/>
      <c r="C110" s="16" t="s">
        <v>1679</v>
      </c>
      <c r="D110" s="19"/>
      <c r="E110" s="19"/>
      <c r="F110" s="203" t="str">
        <f t="shared" si="3"/>
        <v/>
      </c>
    </row>
    <row r="111" spans="1:6" ht="14.1" customHeight="1">
      <c r="A111" s="14">
        <f t="shared" si="4"/>
        <v>107</v>
      </c>
      <c r="B111" s="18"/>
      <c r="C111" s="16" t="s">
        <v>1679</v>
      </c>
      <c r="D111" s="19"/>
      <c r="E111" s="19"/>
      <c r="F111" s="203" t="str">
        <f t="shared" si="3"/>
        <v/>
      </c>
    </row>
    <row r="112" spans="1:6" ht="14.1" customHeight="1">
      <c r="A112" s="14">
        <f t="shared" si="4"/>
        <v>108</v>
      </c>
      <c r="B112" s="18"/>
      <c r="C112" s="16" t="s">
        <v>1679</v>
      </c>
      <c r="D112" s="19"/>
      <c r="E112" s="19"/>
      <c r="F112" s="203" t="str">
        <f t="shared" si="3"/>
        <v/>
      </c>
    </row>
    <row r="113" spans="1:6" ht="14.1" customHeight="1">
      <c r="A113" s="14">
        <f t="shared" si="4"/>
        <v>109</v>
      </c>
      <c r="B113" s="18"/>
      <c r="C113" s="16" t="s">
        <v>1679</v>
      </c>
      <c r="D113" s="19"/>
      <c r="E113" s="19"/>
      <c r="F113" s="203" t="str">
        <f t="shared" si="3"/>
        <v/>
      </c>
    </row>
    <row r="114" spans="1:6" ht="14.1" customHeight="1">
      <c r="A114" s="14">
        <f t="shared" si="4"/>
        <v>110</v>
      </c>
      <c r="B114" s="18"/>
      <c r="C114" s="16" t="s">
        <v>1679</v>
      </c>
      <c r="D114" s="19"/>
      <c r="E114" s="19"/>
      <c r="F114" s="203" t="str">
        <f t="shared" si="3"/>
        <v/>
      </c>
    </row>
    <row r="115" spans="1:6" ht="14.1" customHeight="1">
      <c r="A115" s="14">
        <f t="shared" si="4"/>
        <v>111</v>
      </c>
      <c r="B115" s="18"/>
      <c r="C115" s="16" t="s">
        <v>1679</v>
      </c>
      <c r="D115" s="19"/>
      <c r="E115" s="19"/>
      <c r="F115" s="203" t="str">
        <f t="shared" si="3"/>
        <v/>
      </c>
    </row>
    <row r="116" spans="1:6" ht="14.1" customHeight="1">
      <c r="A116" s="14">
        <f t="shared" si="4"/>
        <v>112</v>
      </c>
      <c r="B116" s="18"/>
      <c r="C116" s="16" t="s">
        <v>1679</v>
      </c>
      <c r="D116" s="19"/>
      <c r="E116" s="19"/>
      <c r="F116" s="203" t="str">
        <f t="shared" si="3"/>
        <v/>
      </c>
    </row>
    <row r="117" spans="1:6" ht="14.1" customHeight="1">
      <c r="A117" s="14">
        <f t="shared" si="4"/>
        <v>113</v>
      </c>
      <c r="B117" s="18"/>
      <c r="C117" s="16" t="s">
        <v>1679</v>
      </c>
      <c r="D117" s="19"/>
      <c r="E117" s="19"/>
      <c r="F117" s="203" t="str">
        <f t="shared" si="3"/>
        <v/>
      </c>
    </row>
    <row r="118" spans="1:6" ht="14.1" customHeight="1">
      <c r="A118" s="14">
        <f t="shared" si="4"/>
        <v>114</v>
      </c>
      <c r="B118" s="20"/>
      <c r="C118" s="16" t="s">
        <v>1679</v>
      </c>
      <c r="D118" s="21"/>
      <c r="E118" s="21"/>
      <c r="F118" s="203" t="str">
        <f t="shared" si="3"/>
        <v/>
      </c>
    </row>
  </sheetData>
  <sheetProtection algorithmName="SHA-512" hashValue="uObJZna0gNvVo9ybAaKFZC9Y+fpmfGFVaasDn2p0M9YZcUn3n0QwJdLM67+ZgE+SdUwYJ5rDBToC0zCk56hfnQ==" saltValue="w7sx9434urC9X21Rn7Nfxg==" spinCount="100000" sheet="1" objects="1" scenarios="1" insertHyperlinks="0" selectLockedCells="1" pivotTables="0"/>
  <customSheetViews>
    <customSheetView guid="{3A20BFFC-9D9E-415D-AC5D-1CC81DA9B04C}">
      <pane ySplit="1" topLeftCell="A2" activePane="bottomLeft" state="frozen"/>
      <selection pane="bottomLeft" activeCell="A2" sqref="A2"/>
      <pageMargins left="0.75" right="0.75" top="1" bottom="1" header="0.5" footer="0.5"/>
      <pageSetup orientation="portrait" r:id="rId1"/>
      <headerFooter alignWithMargins="0"/>
    </customSheetView>
  </customSheetViews>
  <phoneticPr fontId="0" type="noConversion"/>
  <dataValidations count="1">
    <dataValidation operator="greaterThanOrEqual" allowBlank="1" showErrorMessage="1" errorTitle="U-value Too Low" error="Windows with U-values less than about 0.14 are not commercially available." sqref="E72:E74" xr:uid="{00000000-0002-0000-0800-000000000000}"/>
  </dataValidations>
  <hyperlinks>
    <hyperlink ref="F1" location="'Terms of Use'!A1" display="(C) 2017" xr:uid="{00000000-0004-0000-08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1265" r:id="rId5" name="Button 1">
              <controlPr defaultSize="0" print="0" autoFill="0" autoPict="0" macro="[0]!Go_to_TopOfDoorInput">
                <anchor moveWithCells="1">
                  <from>
                    <xdr:col>2</xdr:col>
                    <xdr:colOff>657225</xdr:colOff>
                    <xdr:row>70</xdr:row>
                    <xdr:rowOff>38100</xdr:rowOff>
                  </from>
                  <to>
                    <xdr:col>4</xdr:col>
                    <xdr:colOff>752475</xdr:colOff>
                    <xdr:row>70</xdr:row>
                    <xdr:rowOff>323850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latVaultedCeilings">
    <tabColor theme="0"/>
  </sheetPr>
  <dimension ref="A1:X379"/>
  <sheetViews>
    <sheetView zoomScaleNormal="100" workbookViewId="0">
      <pane ySplit="3" topLeftCell="A4" activePane="bottomLeft" state="frozen"/>
      <selection activeCell="D18" sqref="D18"/>
      <selection pane="bottomLeft" activeCell="B340" sqref="B340"/>
    </sheetView>
  </sheetViews>
  <sheetFormatPr defaultColWidth="8.7109375" defaultRowHeight="14.1" customHeight="1"/>
  <cols>
    <col min="1" max="1" width="8.7109375" style="14" customWidth="1"/>
    <col min="2" max="2" width="55.7109375" style="15" customWidth="1"/>
    <col min="3" max="3" width="12.85546875" style="16" customWidth="1"/>
    <col min="4" max="4" width="11.7109375" style="23" customWidth="1"/>
    <col min="5" max="5" width="17.85546875" style="23" customWidth="1"/>
    <col min="6" max="6" width="8.7109375" style="17" customWidth="1"/>
    <col min="7" max="16384" width="8.7109375" style="15"/>
  </cols>
  <sheetData>
    <row r="1" spans="1:24" ht="18"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row>
    <row r="2" spans="1:24" ht="23.25" customHeight="1">
      <c r="A2" s="549" t="s">
        <v>2465</v>
      </c>
      <c r="B2" s="550"/>
      <c r="C2" s="551"/>
      <c r="D2" s="552"/>
      <c r="E2" s="552"/>
      <c r="F2" s="550"/>
      <c r="G2" s="550"/>
      <c r="H2" s="550"/>
      <c r="I2" s="550"/>
      <c r="J2" s="553"/>
      <c r="K2" s="550"/>
      <c r="L2" s="550"/>
      <c r="M2" s="550"/>
      <c r="N2" s="550"/>
      <c r="O2" s="550"/>
      <c r="P2" s="550"/>
      <c r="Q2" s="550"/>
      <c r="R2" s="550"/>
      <c r="S2" s="550"/>
      <c r="T2" s="550"/>
      <c r="U2" s="550"/>
      <c r="V2" s="550"/>
      <c r="W2" s="550"/>
      <c r="X2" s="550"/>
    </row>
    <row r="3" spans="1:24" ht="14.1" customHeight="1">
      <c r="A3" s="554" t="s">
        <v>1400</v>
      </c>
      <c r="B3" s="439" t="s">
        <v>1401</v>
      </c>
      <c r="C3" s="439" t="s">
        <v>1402</v>
      </c>
      <c r="D3" s="440" t="s">
        <v>1680</v>
      </c>
      <c r="E3" s="22"/>
    </row>
    <row r="5" spans="1:24" ht="14.1" customHeight="1">
      <c r="A5" s="14">
        <v>1</v>
      </c>
    </row>
    <row r="6" spans="1:24" ht="14.1" customHeight="1">
      <c r="A6" s="14">
        <f>A5+1</f>
        <v>2</v>
      </c>
      <c r="B6" s="101" t="s">
        <v>2063</v>
      </c>
    </row>
    <row r="7" spans="1:24" ht="14.1" customHeight="1">
      <c r="A7" s="14">
        <f t="shared" ref="A7:A31" si="0">A6+1</f>
        <v>3</v>
      </c>
      <c r="B7" s="15" t="s">
        <v>1681</v>
      </c>
      <c r="C7" s="16" t="s">
        <v>1577</v>
      </c>
      <c r="D7" s="23">
        <v>0.30199999999999999</v>
      </c>
    </row>
    <row r="8" spans="1:24" ht="14.1" customHeight="1">
      <c r="A8" s="14">
        <f t="shared" si="0"/>
        <v>4</v>
      </c>
      <c r="B8" s="15" t="s">
        <v>1682</v>
      </c>
      <c r="C8" s="16" t="s">
        <v>1577</v>
      </c>
      <c r="D8" s="23">
        <v>0.28399999999999997</v>
      </c>
    </row>
    <row r="9" spans="1:24" ht="14.1" customHeight="1">
      <c r="A9" s="14">
        <f t="shared" si="0"/>
        <v>5</v>
      </c>
      <c r="B9" s="15" t="s">
        <v>1683</v>
      </c>
      <c r="C9" s="16" t="s">
        <v>1684</v>
      </c>
      <c r="D9" s="23">
        <v>4.9000000000000002E-2</v>
      </c>
    </row>
    <row r="10" spans="1:24" ht="14.1" customHeight="1">
      <c r="A10" s="14">
        <f t="shared" si="0"/>
        <v>6</v>
      </c>
      <c r="B10" s="15" t="s">
        <v>1686</v>
      </c>
      <c r="C10" s="16" t="s">
        <v>1684</v>
      </c>
      <c r="D10" s="23">
        <v>3.5999999999999997E-2</v>
      </c>
    </row>
    <row r="11" spans="1:24" ht="14.1" customHeight="1">
      <c r="A11" s="14">
        <f t="shared" si="0"/>
        <v>7</v>
      </c>
      <c r="B11" s="77" t="s">
        <v>2897</v>
      </c>
      <c r="C11" s="16" t="s">
        <v>1684</v>
      </c>
      <c r="D11" s="23">
        <v>2.5999999999999999E-2</v>
      </c>
    </row>
    <row r="12" spans="1:24" ht="14.1" customHeight="1">
      <c r="A12" s="14">
        <f t="shared" si="0"/>
        <v>8</v>
      </c>
      <c r="B12" s="77" t="s">
        <v>2898</v>
      </c>
      <c r="C12" s="16" t="s">
        <v>1684</v>
      </c>
      <c r="D12" s="23">
        <v>2.7E-2</v>
      </c>
    </row>
    <row r="13" spans="1:24" ht="14.1" customHeight="1">
      <c r="A13" s="14">
        <f t="shared" si="0"/>
        <v>9</v>
      </c>
      <c r="B13" s="77" t="s">
        <v>3096</v>
      </c>
      <c r="C13" s="16" t="s">
        <v>1684</v>
      </c>
      <c r="D13" s="23">
        <v>0.02</v>
      </c>
    </row>
    <row r="14" spans="1:24" ht="14.1" customHeight="1">
      <c r="A14" s="14">
        <f t="shared" si="0"/>
        <v>10</v>
      </c>
      <c r="B14" s="77" t="s">
        <v>1692</v>
      </c>
      <c r="C14" s="16" t="s">
        <v>1684</v>
      </c>
      <c r="D14" s="23">
        <v>2.5000000000000001E-2</v>
      </c>
    </row>
    <row r="15" spans="1:24" ht="14.1" customHeight="1">
      <c r="A15" s="14">
        <f t="shared" si="0"/>
        <v>11</v>
      </c>
      <c r="B15" s="77" t="s">
        <v>2902</v>
      </c>
      <c r="C15" s="16" t="s">
        <v>1684</v>
      </c>
      <c r="D15" s="23">
        <v>1.7000000000000001E-2</v>
      </c>
    </row>
    <row r="16" spans="1:24" ht="14.1" customHeight="1">
      <c r="A16" s="14">
        <f t="shared" si="0"/>
        <v>12</v>
      </c>
      <c r="B16" s="15" t="s">
        <v>1697</v>
      </c>
      <c r="C16" s="16" t="s">
        <v>1684</v>
      </c>
      <c r="D16" s="23">
        <v>2.5000000000000001E-2</v>
      </c>
    </row>
    <row r="17" spans="1:4" ht="14.1" customHeight="1">
      <c r="A17" s="14">
        <f t="shared" si="0"/>
        <v>13</v>
      </c>
      <c r="B17" s="77" t="s">
        <v>2899</v>
      </c>
      <c r="C17" s="16" t="s">
        <v>1684</v>
      </c>
      <c r="D17" s="23">
        <v>0.02</v>
      </c>
    </row>
    <row r="18" spans="1:4" ht="14.1" customHeight="1">
      <c r="A18" s="14">
        <f t="shared" si="0"/>
        <v>14</v>
      </c>
      <c r="B18" s="15" t="s">
        <v>1703</v>
      </c>
      <c r="C18" s="16" t="s">
        <v>1684</v>
      </c>
      <c r="D18" s="23">
        <v>2.5999999999999999E-2</v>
      </c>
    </row>
    <row r="19" spans="1:4" ht="14.1" customHeight="1">
      <c r="A19" s="14">
        <f t="shared" si="0"/>
        <v>15</v>
      </c>
      <c r="B19" s="15" t="s">
        <v>1705</v>
      </c>
      <c r="C19" s="16" t="s">
        <v>1684</v>
      </c>
      <c r="D19" s="23">
        <v>0.02</v>
      </c>
    </row>
    <row r="20" spans="1:4" ht="14.1" customHeight="1">
      <c r="A20" s="14">
        <f t="shared" si="0"/>
        <v>16</v>
      </c>
      <c r="B20" s="15" t="s">
        <v>584</v>
      </c>
      <c r="C20" s="16" t="s">
        <v>1684</v>
      </c>
      <c r="D20" s="23">
        <v>4.9000000000000002E-2</v>
      </c>
    </row>
    <row r="21" spans="1:4" ht="14.1" customHeight="1">
      <c r="A21" s="14">
        <f t="shared" ref="A21" si="1">A19+1</f>
        <v>16</v>
      </c>
      <c r="B21" s="15" t="s">
        <v>585</v>
      </c>
      <c r="C21" s="16" t="s">
        <v>1684</v>
      </c>
      <c r="D21" s="23">
        <v>4.8000000000000001E-2</v>
      </c>
    </row>
    <row r="22" spans="1:4" ht="14.1" customHeight="1">
      <c r="A22" s="14">
        <f t="shared" si="0"/>
        <v>17</v>
      </c>
      <c r="B22" s="15" t="s">
        <v>586</v>
      </c>
      <c r="C22" s="16" t="s">
        <v>1684</v>
      </c>
      <c r="D22" s="23">
        <v>3.4000000000000002E-2</v>
      </c>
    </row>
    <row r="23" spans="1:4" ht="14.1" customHeight="1">
      <c r="A23" s="14">
        <f t="shared" si="0"/>
        <v>18</v>
      </c>
      <c r="B23" s="15" t="s">
        <v>587</v>
      </c>
      <c r="C23" s="16" t="s">
        <v>1684</v>
      </c>
      <c r="D23" s="23">
        <v>3.3000000000000002E-2</v>
      </c>
    </row>
    <row r="24" spans="1:4" ht="14.1" customHeight="1">
      <c r="A24" s="14">
        <f t="shared" si="0"/>
        <v>19</v>
      </c>
      <c r="B24" s="77" t="s">
        <v>2900</v>
      </c>
      <c r="C24" s="16" t="s">
        <v>1684</v>
      </c>
      <c r="D24" s="23">
        <v>2.7E-2</v>
      </c>
    </row>
    <row r="25" spans="1:4" ht="14.1" customHeight="1">
      <c r="A25" s="14">
        <f t="shared" si="0"/>
        <v>20</v>
      </c>
      <c r="B25" s="77" t="s">
        <v>2901</v>
      </c>
      <c r="C25" s="16" t="s">
        <v>1684</v>
      </c>
      <c r="D25" s="23">
        <v>2.7E-2</v>
      </c>
    </row>
    <row r="26" spans="1:4" ht="14.1" customHeight="1">
      <c r="A26" s="14">
        <f t="shared" si="0"/>
        <v>21</v>
      </c>
      <c r="B26" s="77" t="s">
        <v>2980</v>
      </c>
      <c r="C26" s="756" t="s">
        <v>2077</v>
      </c>
      <c r="D26" s="23">
        <v>0.02</v>
      </c>
    </row>
    <row r="27" spans="1:4" ht="14.1" customHeight="1">
      <c r="A27" s="14">
        <f t="shared" si="0"/>
        <v>22</v>
      </c>
      <c r="B27" s="77" t="s">
        <v>2981</v>
      </c>
      <c r="C27" s="756" t="s">
        <v>2077</v>
      </c>
      <c r="D27" s="23">
        <v>1.7000000000000001E-2</v>
      </c>
    </row>
    <row r="28" spans="1:4" ht="14.1" customHeight="1">
      <c r="A28" s="14">
        <f>A25+1</f>
        <v>21</v>
      </c>
      <c r="B28" s="77" t="s">
        <v>2767</v>
      </c>
      <c r="C28" s="756" t="s">
        <v>2261</v>
      </c>
      <c r="D28" s="23">
        <v>0</v>
      </c>
    </row>
    <row r="29" spans="1:4" ht="14.1" customHeight="1">
      <c r="A29" s="14">
        <f>A26+1</f>
        <v>22</v>
      </c>
      <c r="B29" s="15" t="s">
        <v>3167</v>
      </c>
      <c r="C29" s="152" t="s">
        <v>3168</v>
      </c>
      <c r="D29" s="23">
        <v>2.4E-2</v>
      </c>
    </row>
    <row r="30" spans="1:4" ht="13.5" customHeight="1">
      <c r="A30" s="14">
        <f>A27+1</f>
        <v>23</v>
      </c>
      <c r="B30" s="101" t="s">
        <v>2110</v>
      </c>
      <c r="C30" s="151" t="s">
        <v>2261</v>
      </c>
    </row>
    <row r="31" spans="1:4" ht="14.1" customHeight="1">
      <c r="A31" s="14">
        <f t="shared" si="0"/>
        <v>24</v>
      </c>
      <c r="B31" s="15" t="s">
        <v>1681</v>
      </c>
      <c r="C31" s="16" t="s">
        <v>1577</v>
      </c>
      <c r="D31" s="23">
        <v>0.30199999999999999</v>
      </c>
    </row>
    <row r="32" spans="1:4" ht="14.1" customHeight="1">
      <c r="A32" s="14">
        <f t="shared" ref="A32:A84" si="2">A31+1</f>
        <v>25</v>
      </c>
      <c r="B32" s="15" t="s">
        <v>1682</v>
      </c>
      <c r="C32" s="16" t="s">
        <v>1577</v>
      </c>
      <c r="D32" s="23">
        <v>0.28399999999999997</v>
      </c>
    </row>
    <row r="33" spans="1:4" ht="14.1" customHeight="1">
      <c r="A33" s="14">
        <f t="shared" si="2"/>
        <v>26</v>
      </c>
      <c r="B33" s="15" t="s">
        <v>1683</v>
      </c>
      <c r="C33" s="16" t="s">
        <v>1684</v>
      </c>
      <c r="D33" s="23">
        <v>4.9000000000000002E-2</v>
      </c>
    </row>
    <row r="34" spans="1:4" ht="14.1" customHeight="1">
      <c r="A34" s="14">
        <f t="shared" si="2"/>
        <v>27</v>
      </c>
      <c r="B34" s="15" t="s">
        <v>1685</v>
      </c>
      <c r="C34" s="16" t="s">
        <v>1684</v>
      </c>
      <c r="D34" s="23">
        <v>4.7E-2</v>
      </c>
    </row>
    <row r="35" spans="1:4" ht="14.1" customHeight="1">
      <c r="A35" s="14">
        <f t="shared" si="2"/>
        <v>28</v>
      </c>
      <c r="B35" s="15" t="s">
        <v>1686</v>
      </c>
      <c r="C35" s="16" t="s">
        <v>1684</v>
      </c>
      <c r="D35" s="23">
        <v>3.5999999999999997E-2</v>
      </c>
    </row>
    <row r="36" spans="1:4" ht="14.1" customHeight="1">
      <c r="A36" s="14">
        <f t="shared" si="2"/>
        <v>29</v>
      </c>
      <c r="B36" s="15" t="s">
        <v>1687</v>
      </c>
      <c r="C36" s="16" t="s">
        <v>1684</v>
      </c>
      <c r="D36" s="23">
        <v>3.2000000000000001E-2</v>
      </c>
    </row>
    <row r="37" spans="1:4" ht="14.1" customHeight="1">
      <c r="A37" s="14">
        <f t="shared" si="2"/>
        <v>30</v>
      </c>
      <c r="B37" s="15" t="s">
        <v>1688</v>
      </c>
      <c r="C37" s="16" t="s">
        <v>1684</v>
      </c>
      <c r="D37" s="23">
        <v>3.1E-2</v>
      </c>
    </row>
    <row r="38" spans="1:4" ht="14.1" customHeight="1">
      <c r="A38" s="14">
        <f t="shared" si="2"/>
        <v>31</v>
      </c>
      <c r="B38" s="77" t="s">
        <v>1689</v>
      </c>
      <c r="C38" s="16" t="s">
        <v>1684</v>
      </c>
      <c r="D38" s="23">
        <v>2.5999999999999999E-2</v>
      </c>
    </row>
    <row r="39" spans="1:4" ht="14.1" customHeight="1">
      <c r="A39" s="14">
        <f t="shared" si="2"/>
        <v>32</v>
      </c>
      <c r="B39" s="15" t="s">
        <v>1690</v>
      </c>
      <c r="C39" s="16" t="s">
        <v>1684</v>
      </c>
      <c r="D39" s="23">
        <v>2.7E-2</v>
      </c>
    </row>
    <row r="40" spans="1:4" ht="14.1" customHeight="1">
      <c r="A40" s="14">
        <f t="shared" si="2"/>
        <v>33</v>
      </c>
      <c r="B40" s="15" t="s">
        <v>1691</v>
      </c>
      <c r="C40" s="16" t="s">
        <v>1684</v>
      </c>
      <c r="D40" s="23">
        <v>0.02</v>
      </c>
    </row>
    <row r="41" spans="1:4" ht="14.1" customHeight="1">
      <c r="A41" s="14">
        <f t="shared" si="2"/>
        <v>34</v>
      </c>
      <c r="B41" s="15" t="s">
        <v>1692</v>
      </c>
      <c r="C41" s="16" t="s">
        <v>1684</v>
      </c>
      <c r="D41" s="23">
        <v>2.4E-2</v>
      </c>
    </row>
    <row r="42" spans="1:4" ht="14.1" customHeight="1">
      <c r="A42" s="14">
        <f t="shared" si="2"/>
        <v>35</v>
      </c>
      <c r="B42" s="15" t="s">
        <v>1693</v>
      </c>
      <c r="C42" s="16" t="s">
        <v>1684</v>
      </c>
      <c r="D42" s="23">
        <v>1.7000000000000001E-2</v>
      </c>
    </row>
    <row r="43" spans="1:4" ht="14.1" customHeight="1">
      <c r="A43" s="14">
        <f t="shared" si="2"/>
        <v>36</v>
      </c>
      <c r="B43" s="15" t="s">
        <v>1694</v>
      </c>
      <c r="C43" s="16" t="s">
        <v>1684</v>
      </c>
      <c r="D43" s="23">
        <v>4.2999999999999997E-2</v>
      </c>
    </row>
    <row r="44" spans="1:4" ht="14.1" customHeight="1">
      <c r="A44" s="14">
        <f t="shared" si="2"/>
        <v>37</v>
      </c>
      <c r="B44" s="15" t="s">
        <v>1695</v>
      </c>
      <c r="C44" s="16" t="s">
        <v>1684</v>
      </c>
      <c r="D44" s="23">
        <v>3.1E-2</v>
      </c>
    </row>
    <row r="45" spans="1:4" ht="14.1" customHeight="1">
      <c r="A45" s="14">
        <f t="shared" si="2"/>
        <v>38</v>
      </c>
      <c r="B45" s="15" t="s">
        <v>1696</v>
      </c>
      <c r="C45" s="16" t="s">
        <v>1684</v>
      </c>
      <c r="D45" s="23">
        <v>0.04</v>
      </c>
    </row>
    <row r="46" spans="1:4" ht="14.1" customHeight="1">
      <c r="A46" s="14">
        <f t="shared" si="2"/>
        <v>39</v>
      </c>
      <c r="B46" s="15" t="s">
        <v>1697</v>
      </c>
      <c r="C46" s="16" t="s">
        <v>1684</v>
      </c>
      <c r="D46" s="23">
        <v>2.5000000000000001E-2</v>
      </c>
    </row>
    <row r="47" spans="1:4" ht="14.1" customHeight="1">
      <c r="A47" s="14">
        <f t="shared" si="2"/>
        <v>40</v>
      </c>
      <c r="B47" s="15" t="s">
        <v>1698</v>
      </c>
      <c r="C47" s="16" t="s">
        <v>1684</v>
      </c>
      <c r="D47" s="23">
        <v>3.7999999999999999E-2</v>
      </c>
    </row>
    <row r="48" spans="1:4" ht="14.1" customHeight="1">
      <c r="A48" s="14">
        <f t="shared" si="2"/>
        <v>41</v>
      </c>
      <c r="B48" s="15" t="s">
        <v>1699</v>
      </c>
      <c r="C48" s="16" t="s">
        <v>1684</v>
      </c>
      <c r="D48" s="23">
        <v>0.02</v>
      </c>
    </row>
    <row r="49" spans="1:4" ht="14.1" customHeight="1">
      <c r="A49" s="14">
        <f t="shared" si="2"/>
        <v>42</v>
      </c>
      <c r="B49" s="15" t="s">
        <v>1700</v>
      </c>
      <c r="C49" s="16" t="s">
        <v>1684</v>
      </c>
      <c r="D49" s="23">
        <v>3.9E-2</v>
      </c>
    </row>
    <row r="50" spans="1:4" ht="14.1" customHeight="1">
      <c r="A50" s="14">
        <f t="shared" si="2"/>
        <v>43</v>
      </c>
      <c r="B50" s="15" t="s">
        <v>1701</v>
      </c>
      <c r="C50" s="16" t="s">
        <v>1684</v>
      </c>
      <c r="D50" s="23">
        <v>3.2000000000000001E-2</v>
      </c>
    </row>
    <row r="51" spans="1:4" ht="14.1" customHeight="1">
      <c r="A51" s="14">
        <f t="shared" si="2"/>
        <v>44</v>
      </c>
      <c r="B51" s="15" t="s">
        <v>1702</v>
      </c>
      <c r="C51" s="16" t="s">
        <v>1684</v>
      </c>
      <c r="D51" s="23">
        <v>3.5000000000000003E-2</v>
      </c>
    </row>
    <row r="52" spans="1:4" ht="14.1" customHeight="1">
      <c r="A52" s="14">
        <f t="shared" si="2"/>
        <v>45</v>
      </c>
      <c r="B52" s="15" t="s">
        <v>1703</v>
      </c>
      <c r="C52" s="16" t="s">
        <v>1684</v>
      </c>
      <c r="D52" s="23">
        <v>2.5999999999999999E-2</v>
      </c>
    </row>
    <row r="53" spans="1:4" ht="14.1" customHeight="1">
      <c r="A53" s="14">
        <f t="shared" si="2"/>
        <v>46</v>
      </c>
      <c r="B53" s="15" t="s">
        <v>1704</v>
      </c>
      <c r="C53" s="16" t="s">
        <v>1684</v>
      </c>
      <c r="D53" s="23">
        <v>3.2000000000000001E-2</v>
      </c>
    </row>
    <row r="54" spans="1:4" ht="14.1" customHeight="1">
      <c r="A54" s="14">
        <f t="shared" si="2"/>
        <v>47</v>
      </c>
      <c r="B54" s="15" t="s">
        <v>1705</v>
      </c>
      <c r="C54" s="16" t="s">
        <v>1684</v>
      </c>
      <c r="D54" s="23">
        <v>0.02</v>
      </c>
    </row>
    <row r="55" spans="1:4" ht="14.1" customHeight="1">
      <c r="A55" s="14">
        <f t="shared" si="2"/>
        <v>48</v>
      </c>
      <c r="B55" s="15" t="s">
        <v>1706</v>
      </c>
      <c r="C55" s="16" t="s">
        <v>1707</v>
      </c>
      <c r="D55" s="23">
        <v>0.1075</v>
      </c>
    </row>
    <row r="56" spans="1:4" ht="14.1" customHeight="1">
      <c r="A56" s="14">
        <f t="shared" si="2"/>
        <v>49</v>
      </c>
      <c r="B56" s="15" t="s">
        <v>1708</v>
      </c>
      <c r="C56" s="16" t="s">
        <v>1707</v>
      </c>
      <c r="D56" s="23">
        <v>9.9099999999999994E-2</v>
      </c>
    </row>
    <row r="57" spans="1:4" ht="14.1" customHeight="1">
      <c r="A57" s="14">
        <f t="shared" si="2"/>
        <v>50</v>
      </c>
      <c r="B57" s="15" t="s">
        <v>1709</v>
      </c>
      <c r="C57" s="16" t="s">
        <v>1707</v>
      </c>
      <c r="D57" s="23">
        <v>9.2799999999999994E-2</v>
      </c>
    </row>
    <row r="58" spans="1:4" ht="14.1" customHeight="1">
      <c r="A58" s="14">
        <f t="shared" si="2"/>
        <v>51</v>
      </c>
      <c r="B58" s="15" t="s">
        <v>1710</v>
      </c>
      <c r="C58" s="16" t="s">
        <v>1707</v>
      </c>
      <c r="D58" s="23">
        <v>8.7800000000000003E-2</v>
      </c>
    </row>
    <row r="59" spans="1:4" ht="14.1" customHeight="1">
      <c r="A59" s="14">
        <f t="shared" si="2"/>
        <v>52</v>
      </c>
      <c r="B59" s="15" t="s">
        <v>1711</v>
      </c>
      <c r="C59" s="16" t="s">
        <v>1707</v>
      </c>
      <c r="D59" s="23">
        <v>8.3900000000000002E-2</v>
      </c>
    </row>
    <row r="60" spans="1:4" ht="14.1" customHeight="1">
      <c r="A60" s="14">
        <f t="shared" si="2"/>
        <v>53</v>
      </c>
      <c r="B60" s="15" t="s">
        <v>1712</v>
      </c>
      <c r="C60" s="16" t="s">
        <v>1707</v>
      </c>
      <c r="D60" s="23">
        <v>8.0699999999999994E-2</v>
      </c>
    </row>
    <row r="61" spans="1:4" ht="14.1" customHeight="1">
      <c r="A61" s="14">
        <f t="shared" si="2"/>
        <v>54</v>
      </c>
      <c r="B61" s="15" t="s">
        <v>1713</v>
      </c>
      <c r="C61" s="16" t="s">
        <v>1707</v>
      </c>
      <c r="D61" s="23">
        <v>7.8E-2</v>
      </c>
    </row>
    <row r="62" spans="1:4" ht="14.1" customHeight="1">
      <c r="A62" s="14">
        <f t="shared" si="2"/>
        <v>55</v>
      </c>
      <c r="B62" s="15" t="s">
        <v>1714</v>
      </c>
      <c r="C62" s="16" t="s">
        <v>1707</v>
      </c>
      <c r="D62" s="23">
        <v>7.5700000000000003E-2</v>
      </c>
    </row>
    <row r="63" spans="1:4" ht="14.1" customHeight="1">
      <c r="A63" s="14">
        <f t="shared" si="2"/>
        <v>56</v>
      </c>
      <c r="B63" s="15" t="s">
        <v>1715</v>
      </c>
      <c r="C63" s="16" t="s">
        <v>1707</v>
      </c>
      <c r="D63" s="23">
        <v>7.3700000000000002E-2</v>
      </c>
    </row>
    <row r="64" spans="1:4" ht="14.1" customHeight="1">
      <c r="A64" s="14">
        <f t="shared" si="2"/>
        <v>57</v>
      </c>
      <c r="B64" s="15" t="s">
        <v>1716</v>
      </c>
      <c r="C64" s="16" t="s">
        <v>1707</v>
      </c>
      <c r="D64" s="23">
        <v>7.1999999999999995E-2</v>
      </c>
    </row>
    <row r="65" spans="1:4" ht="14.1" customHeight="1">
      <c r="A65" s="14">
        <f t="shared" si="2"/>
        <v>58</v>
      </c>
      <c r="B65" s="15" t="s">
        <v>1717</v>
      </c>
      <c r="C65" s="16" t="s">
        <v>1707</v>
      </c>
      <c r="D65" s="23">
        <v>7.0599999999999996E-2</v>
      </c>
    </row>
    <row r="66" spans="1:4" ht="14.1" customHeight="1">
      <c r="A66" s="14">
        <f t="shared" si="2"/>
        <v>59</v>
      </c>
      <c r="B66" s="15" t="s">
        <v>1718</v>
      </c>
      <c r="C66" s="16" t="s">
        <v>1707</v>
      </c>
      <c r="D66" s="23">
        <v>6.93E-2</v>
      </c>
    </row>
    <row r="67" spans="1:4" ht="14.1" customHeight="1">
      <c r="A67" s="14">
        <f t="shared" si="2"/>
        <v>60</v>
      </c>
      <c r="B67" s="15" t="s">
        <v>1719</v>
      </c>
      <c r="C67" s="16" t="s">
        <v>1707</v>
      </c>
      <c r="D67" s="23">
        <v>6.8099999999999994E-2</v>
      </c>
    </row>
    <row r="68" spans="1:4" ht="14.1" customHeight="1">
      <c r="A68" s="14">
        <f t="shared" si="2"/>
        <v>61</v>
      </c>
      <c r="B68" s="15" t="s">
        <v>1720</v>
      </c>
      <c r="C68" s="16" t="s">
        <v>1707</v>
      </c>
      <c r="D68" s="23">
        <v>9.0700000000000003E-2</v>
      </c>
    </row>
    <row r="69" spans="1:4" ht="14.1" customHeight="1">
      <c r="A69" s="14">
        <f t="shared" si="2"/>
        <v>62</v>
      </c>
      <c r="B69" s="15" t="s">
        <v>1721</v>
      </c>
      <c r="C69" s="16" t="s">
        <v>1707</v>
      </c>
      <c r="D69" s="23">
        <v>8.2299999999999998E-2</v>
      </c>
    </row>
    <row r="70" spans="1:4" ht="14.1" customHeight="1">
      <c r="A70" s="14">
        <f t="shared" si="2"/>
        <v>63</v>
      </c>
      <c r="B70" s="15" t="s">
        <v>1722</v>
      </c>
      <c r="C70" s="16" t="s">
        <v>1707</v>
      </c>
      <c r="D70" s="23">
        <v>7.5999999999999998E-2</v>
      </c>
    </row>
    <row r="71" spans="1:4" ht="14.1" customHeight="1">
      <c r="A71" s="14">
        <f t="shared" si="2"/>
        <v>64</v>
      </c>
      <c r="B71" s="15" t="s">
        <v>1723</v>
      </c>
      <c r="C71" s="16" t="s">
        <v>1707</v>
      </c>
      <c r="D71" s="23">
        <v>7.0999999999999994E-2</v>
      </c>
    </row>
    <row r="72" spans="1:4" ht="14.1" customHeight="1">
      <c r="A72" s="14">
        <f t="shared" si="2"/>
        <v>65</v>
      </c>
      <c r="B72" s="15" t="s">
        <v>1724</v>
      </c>
      <c r="C72" s="16" t="s">
        <v>1707</v>
      </c>
      <c r="D72" s="23">
        <v>6.7100000000000007E-2</v>
      </c>
    </row>
    <row r="73" spans="1:4" ht="14.1" customHeight="1">
      <c r="A73" s="14">
        <f t="shared" si="2"/>
        <v>66</v>
      </c>
      <c r="B73" s="15" t="s">
        <v>1725</v>
      </c>
      <c r="C73" s="16" t="s">
        <v>1707</v>
      </c>
      <c r="D73" s="23">
        <v>6.3799999999999996E-2</v>
      </c>
    </row>
    <row r="74" spans="1:4" ht="14.1" customHeight="1">
      <c r="A74" s="14">
        <f t="shared" si="2"/>
        <v>67</v>
      </c>
      <c r="B74" s="15" t="s">
        <v>1726</v>
      </c>
      <c r="C74" s="16" t="s">
        <v>1707</v>
      </c>
      <c r="D74" s="23">
        <v>6.1199999999999997E-2</v>
      </c>
    </row>
    <row r="75" spans="1:4" ht="14.1" customHeight="1">
      <c r="A75" s="14">
        <f t="shared" si="2"/>
        <v>68</v>
      </c>
      <c r="B75" s="15" t="s">
        <v>1727</v>
      </c>
      <c r="C75" s="16" t="s">
        <v>1707</v>
      </c>
      <c r="D75" s="23">
        <v>5.8900000000000001E-2</v>
      </c>
    </row>
    <row r="76" spans="1:4" ht="14.1" customHeight="1">
      <c r="A76" s="14">
        <f t="shared" si="2"/>
        <v>69</v>
      </c>
      <c r="B76" s="15" t="s">
        <v>1728</v>
      </c>
      <c r="C76" s="16" t="s">
        <v>1707</v>
      </c>
      <c r="D76" s="23">
        <v>5.6899999999999999E-2</v>
      </c>
    </row>
    <row r="77" spans="1:4" ht="14.1" customHeight="1">
      <c r="A77" s="14">
        <f t="shared" si="2"/>
        <v>70</v>
      </c>
      <c r="B77" s="15" t="s">
        <v>1729</v>
      </c>
      <c r="C77" s="16" t="s">
        <v>1707</v>
      </c>
      <c r="D77" s="23">
        <v>5.5199999999999999E-2</v>
      </c>
    </row>
    <row r="78" spans="1:4" ht="14.1" customHeight="1">
      <c r="A78" s="14">
        <f t="shared" si="2"/>
        <v>71</v>
      </c>
      <c r="B78" s="15" t="s">
        <v>1730</v>
      </c>
      <c r="C78" s="16" t="s">
        <v>1707</v>
      </c>
      <c r="D78" s="23">
        <v>5.3800000000000001E-2</v>
      </c>
    </row>
    <row r="79" spans="1:4" ht="14.1" customHeight="1">
      <c r="A79" s="14">
        <f t="shared" si="2"/>
        <v>72</v>
      </c>
      <c r="B79" s="15" t="s">
        <v>1731</v>
      </c>
      <c r="C79" s="16" t="s">
        <v>1707</v>
      </c>
      <c r="D79" s="23">
        <v>5.2499999999999998E-2</v>
      </c>
    </row>
    <row r="80" spans="1:4" ht="14.1" customHeight="1">
      <c r="A80" s="14">
        <f t="shared" si="2"/>
        <v>73</v>
      </c>
      <c r="B80" s="15" t="s">
        <v>1732</v>
      </c>
      <c r="C80" s="16" t="s">
        <v>1707</v>
      </c>
      <c r="D80" s="23">
        <v>5.1299999999999998E-2</v>
      </c>
    </row>
    <row r="81" spans="1:4" ht="14.1" customHeight="1">
      <c r="A81" s="14">
        <f t="shared" si="2"/>
        <v>74</v>
      </c>
      <c r="B81" s="15" t="s">
        <v>1733</v>
      </c>
      <c r="C81" s="16" t="s">
        <v>1707</v>
      </c>
      <c r="D81" s="23">
        <v>8.4400000000000003E-2</v>
      </c>
    </row>
    <row r="82" spans="1:4" ht="14.1" customHeight="1">
      <c r="A82" s="14">
        <f t="shared" si="2"/>
        <v>75</v>
      </c>
      <c r="B82" s="15" t="s">
        <v>1734</v>
      </c>
      <c r="C82" s="16" t="s">
        <v>1707</v>
      </c>
      <c r="D82" s="23">
        <v>7.5899999999999995E-2</v>
      </c>
    </row>
    <row r="83" spans="1:4" ht="14.1" customHeight="1">
      <c r="A83" s="14">
        <f t="shared" si="2"/>
        <v>76</v>
      </c>
      <c r="B83" s="15" t="s">
        <v>1735</v>
      </c>
      <c r="C83" s="16" t="s">
        <v>1707</v>
      </c>
      <c r="D83" s="23">
        <v>6.9599999999999995E-2</v>
      </c>
    </row>
    <row r="84" spans="1:4" ht="14.1" customHeight="1">
      <c r="A84" s="14">
        <f t="shared" si="2"/>
        <v>77</v>
      </c>
      <c r="B84" s="15" t="s">
        <v>1736</v>
      </c>
      <c r="C84" s="16" t="s">
        <v>1707</v>
      </c>
      <c r="D84" s="23">
        <v>6.4699999999999994E-2</v>
      </c>
    </row>
    <row r="85" spans="1:4" ht="14.1" customHeight="1">
      <c r="A85" s="14">
        <f t="shared" ref="A85:A148" si="3">A84+1</f>
        <v>78</v>
      </c>
      <c r="B85" s="15" t="s">
        <v>1737</v>
      </c>
      <c r="C85" s="16" t="s">
        <v>1707</v>
      </c>
      <c r="D85" s="23">
        <v>6.0699999999999997E-2</v>
      </c>
    </row>
    <row r="86" spans="1:4" ht="14.1" customHeight="1">
      <c r="A86" s="14">
        <f t="shared" si="3"/>
        <v>79</v>
      </c>
      <c r="B86" s="15" t="s">
        <v>1738</v>
      </c>
      <c r="C86" s="16" t="s">
        <v>1707</v>
      </c>
      <c r="D86" s="23">
        <v>5.7500000000000002E-2</v>
      </c>
    </row>
    <row r="87" spans="1:4" ht="14.1" customHeight="1">
      <c r="A87" s="14">
        <f t="shared" si="3"/>
        <v>80</v>
      </c>
      <c r="B87" s="15" t="s">
        <v>1739</v>
      </c>
      <c r="C87" s="16" t="s">
        <v>1707</v>
      </c>
      <c r="D87" s="23">
        <v>5.4800000000000001E-2</v>
      </c>
    </row>
    <row r="88" spans="1:4" ht="14.1" customHeight="1">
      <c r="A88" s="14">
        <f t="shared" si="3"/>
        <v>81</v>
      </c>
      <c r="B88" s="15" t="s">
        <v>1740</v>
      </c>
      <c r="C88" s="16" t="s">
        <v>1707</v>
      </c>
      <c r="D88" s="23">
        <v>5.2499999999999998E-2</v>
      </c>
    </row>
    <row r="89" spans="1:4" ht="14.1" customHeight="1">
      <c r="A89" s="14">
        <f t="shared" si="3"/>
        <v>82</v>
      </c>
      <c r="B89" s="15" t="s">
        <v>1741</v>
      </c>
      <c r="C89" s="16" t="s">
        <v>1707</v>
      </c>
      <c r="D89" s="23">
        <v>5.0599999999999999E-2</v>
      </c>
    </row>
    <row r="90" spans="1:4" ht="14.1" customHeight="1">
      <c r="A90" s="14">
        <f t="shared" si="3"/>
        <v>83</v>
      </c>
      <c r="B90" s="15" t="s">
        <v>1742</v>
      </c>
      <c r="C90" s="16" t="s">
        <v>1707</v>
      </c>
      <c r="D90" s="23">
        <v>4.8899999999999999E-2</v>
      </c>
    </row>
    <row r="91" spans="1:4" ht="14.1" customHeight="1">
      <c r="A91" s="14">
        <f t="shared" si="3"/>
        <v>84</v>
      </c>
      <c r="B91" s="15" t="s">
        <v>1743</v>
      </c>
      <c r="C91" s="16" t="s">
        <v>1707</v>
      </c>
      <c r="D91" s="23">
        <v>4.7399999999999998E-2</v>
      </c>
    </row>
    <row r="92" spans="1:4" ht="14.1" customHeight="1">
      <c r="A92" s="14">
        <f t="shared" si="3"/>
        <v>85</v>
      </c>
      <c r="B92" s="15" t="s">
        <v>1744</v>
      </c>
      <c r="C92" s="16" t="s">
        <v>1707</v>
      </c>
      <c r="D92" s="23">
        <v>4.6100000000000002E-2</v>
      </c>
    </row>
    <row r="93" spans="1:4" ht="14.1" customHeight="1">
      <c r="A93" s="14">
        <f t="shared" si="3"/>
        <v>86</v>
      </c>
      <c r="B93" s="15" t="s">
        <v>1745</v>
      </c>
      <c r="C93" s="16" t="s">
        <v>1707</v>
      </c>
      <c r="D93" s="23">
        <v>4.4900000000000002E-2</v>
      </c>
    </row>
    <row r="94" spans="1:4" ht="14.1" customHeight="1">
      <c r="A94" s="14">
        <f t="shared" si="3"/>
        <v>87</v>
      </c>
      <c r="B94" s="15" t="s">
        <v>1746</v>
      </c>
      <c r="C94" s="16" t="s">
        <v>1707</v>
      </c>
      <c r="D94" s="23">
        <v>7.8899999999999998E-2</v>
      </c>
    </row>
    <row r="95" spans="1:4" ht="14.1" customHeight="1">
      <c r="A95" s="14">
        <f t="shared" si="3"/>
        <v>88</v>
      </c>
      <c r="B95" s="15" t="s">
        <v>1747</v>
      </c>
      <c r="C95" s="16" t="s">
        <v>1707</v>
      </c>
      <c r="D95" s="23">
        <v>7.0400000000000004E-2</v>
      </c>
    </row>
    <row r="96" spans="1:4" ht="14.1" customHeight="1">
      <c r="A96" s="14">
        <f t="shared" si="3"/>
        <v>89</v>
      </c>
      <c r="B96" s="15" t="s">
        <v>1748</v>
      </c>
      <c r="C96" s="16" t="s">
        <v>1707</v>
      </c>
      <c r="D96" s="23">
        <v>6.4100000000000004E-2</v>
      </c>
    </row>
    <row r="97" spans="1:4" ht="14.1" customHeight="1">
      <c r="A97" s="14">
        <f t="shared" si="3"/>
        <v>90</v>
      </c>
      <c r="B97" s="15" t="s">
        <v>1749</v>
      </c>
      <c r="C97" s="16" t="s">
        <v>1707</v>
      </c>
      <c r="D97" s="23">
        <v>5.9200000000000003E-2</v>
      </c>
    </row>
    <row r="98" spans="1:4" ht="14.1" customHeight="1">
      <c r="A98" s="14">
        <f t="shared" si="3"/>
        <v>91</v>
      </c>
      <c r="B98" s="15" t="s">
        <v>1750</v>
      </c>
      <c r="C98" s="16" t="s">
        <v>1707</v>
      </c>
      <c r="D98" s="23">
        <v>5.5199999999999999E-2</v>
      </c>
    </row>
    <row r="99" spans="1:4" ht="14.1" customHeight="1">
      <c r="A99" s="14">
        <f t="shared" si="3"/>
        <v>92</v>
      </c>
      <c r="B99" s="15" t="s">
        <v>1751</v>
      </c>
      <c r="C99" s="16" t="s">
        <v>1707</v>
      </c>
      <c r="D99" s="23">
        <v>5.1999999999999998E-2</v>
      </c>
    </row>
    <row r="100" spans="1:4" ht="14.1" customHeight="1">
      <c r="A100" s="14">
        <f t="shared" si="3"/>
        <v>93</v>
      </c>
      <c r="B100" s="15" t="s">
        <v>1752</v>
      </c>
      <c r="C100" s="16" t="s">
        <v>1707</v>
      </c>
      <c r="D100" s="23">
        <v>4.9299999999999997E-2</v>
      </c>
    </row>
    <row r="101" spans="1:4" ht="14.1" customHeight="1">
      <c r="A101" s="14">
        <f t="shared" si="3"/>
        <v>94</v>
      </c>
      <c r="B101" s="15" t="s">
        <v>1753</v>
      </c>
      <c r="C101" s="16" t="s">
        <v>1707</v>
      </c>
      <c r="D101" s="23">
        <v>4.7E-2</v>
      </c>
    </row>
    <row r="102" spans="1:4" ht="14.1" customHeight="1">
      <c r="A102" s="14">
        <f t="shared" si="3"/>
        <v>95</v>
      </c>
      <c r="B102" s="15" t="s">
        <v>1754</v>
      </c>
      <c r="C102" s="16" t="s">
        <v>1707</v>
      </c>
      <c r="D102" s="23">
        <v>4.5100000000000001E-2</v>
      </c>
    </row>
    <row r="103" spans="1:4" ht="14.1" customHeight="1">
      <c r="A103" s="14">
        <f t="shared" si="3"/>
        <v>96</v>
      </c>
      <c r="B103" s="15" t="s">
        <v>1755</v>
      </c>
      <c r="C103" s="16" t="s">
        <v>1707</v>
      </c>
      <c r="D103" s="23">
        <v>4.3400000000000001E-2</v>
      </c>
    </row>
    <row r="104" spans="1:4" ht="14.1" customHeight="1">
      <c r="A104" s="14">
        <f t="shared" si="3"/>
        <v>97</v>
      </c>
      <c r="B104" s="15" t="s">
        <v>1756</v>
      </c>
      <c r="C104" s="16" t="s">
        <v>1707</v>
      </c>
      <c r="D104" s="23">
        <v>4.19E-2</v>
      </c>
    </row>
    <row r="105" spans="1:4" ht="14.1" customHeight="1">
      <c r="A105" s="14">
        <f t="shared" si="3"/>
        <v>98</v>
      </c>
      <c r="B105" s="15" t="s">
        <v>1757</v>
      </c>
      <c r="C105" s="16" t="s">
        <v>1707</v>
      </c>
      <c r="D105" s="23">
        <v>4.0599999999999997E-2</v>
      </c>
    </row>
    <row r="106" spans="1:4" ht="14.1" customHeight="1">
      <c r="A106" s="14">
        <f t="shared" si="3"/>
        <v>99</v>
      </c>
      <c r="B106" s="15" t="s">
        <v>1758</v>
      </c>
      <c r="C106" s="16" t="s">
        <v>1707</v>
      </c>
      <c r="D106" s="23">
        <v>3.95E-2</v>
      </c>
    </row>
    <row r="107" spans="1:4" ht="14.1" customHeight="1">
      <c r="A107" s="14">
        <f t="shared" si="3"/>
        <v>100</v>
      </c>
      <c r="B107" s="15" t="s">
        <v>1759</v>
      </c>
      <c r="C107" s="16" t="s">
        <v>1707</v>
      </c>
      <c r="D107" s="23">
        <v>8.09E-2</v>
      </c>
    </row>
    <row r="108" spans="1:4" ht="14.1" customHeight="1">
      <c r="A108" s="14">
        <f t="shared" si="3"/>
        <v>101</v>
      </c>
      <c r="B108" s="15" t="s">
        <v>1760</v>
      </c>
      <c r="C108" s="16" t="s">
        <v>1707</v>
      </c>
      <c r="D108" s="23">
        <v>7.6300000000000007E-2</v>
      </c>
    </row>
    <row r="109" spans="1:4" ht="14.1" customHeight="1">
      <c r="A109" s="14">
        <f t="shared" si="3"/>
        <v>102</v>
      </c>
      <c r="B109" s="15" t="s">
        <v>1761</v>
      </c>
      <c r="C109" s="16" t="s">
        <v>1707</v>
      </c>
      <c r="D109" s="23">
        <v>7.2800000000000004E-2</v>
      </c>
    </row>
    <row r="110" spans="1:4" ht="14.1" customHeight="1">
      <c r="A110" s="14">
        <f t="shared" si="3"/>
        <v>103</v>
      </c>
      <c r="B110" s="15" t="s">
        <v>1762</v>
      </c>
      <c r="C110" s="16" t="s">
        <v>1707</v>
      </c>
      <c r="D110" s="23">
        <v>7.0099999999999996E-2</v>
      </c>
    </row>
    <row r="111" spans="1:4" ht="14.1" customHeight="1">
      <c r="A111" s="14">
        <f t="shared" si="3"/>
        <v>104</v>
      </c>
      <c r="B111" s="15" t="s">
        <v>1763</v>
      </c>
      <c r="C111" s="16" t="s">
        <v>1707</v>
      </c>
      <c r="D111" s="23">
        <v>6.7900000000000002E-2</v>
      </c>
    </row>
    <row r="112" spans="1:4" ht="14.1" customHeight="1">
      <c r="A112" s="14">
        <f t="shared" si="3"/>
        <v>105</v>
      </c>
      <c r="B112" s="15" t="s">
        <v>1764</v>
      </c>
      <c r="C112" s="16" t="s">
        <v>1707</v>
      </c>
      <c r="D112" s="23">
        <v>6.6100000000000006E-2</v>
      </c>
    </row>
    <row r="113" spans="1:4" ht="14.1" customHeight="1">
      <c r="A113" s="14">
        <f t="shared" si="3"/>
        <v>106</v>
      </c>
      <c r="B113" s="15" t="s">
        <v>1765</v>
      </c>
      <c r="C113" s="16" t="s">
        <v>1707</v>
      </c>
      <c r="D113" s="23">
        <v>6.4699999999999994E-2</v>
      </c>
    </row>
    <row r="114" spans="1:4" ht="14.1" customHeight="1">
      <c r="A114" s="14">
        <f t="shared" si="3"/>
        <v>107</v>
      </c>
      <c r="B114" s="15" t="s">
        <v>1766</v>
      </c>
      <c r="C114" s="16" t="s">
        <v>1707</v>
      </c>
      <c r="D114" s="23">
        <v>6.3399999999999998E-2</v>
      </c>
    </row>
    <row r="115" spans="1:4" ht="14.1" customHeight="1">
      <c r="A115" s="14">
        <f t="shared" si="3"/>
        <v>108</v>
      </c>
      <c r="B115" s="15" t="s">
        <v>1767</v>
      </c>
      <c r="C115" s="16" t="s">
        <v>1707</v>
      </c>
      <c r="D115" s="23">
        <v>6.2300000000000001E-2</v>
      </c>
    </row>
    <row r="116" spans="1:4" ht="14.1" customHeight="1">
      <c r="A116" s="14">
        <f t="shared" si="3"/>
        <v>109</v>
      </c>
      <c r="B116" s="15" t="s">
        <v>1768</v>
      </c>
      <c r="C116" s="16" t="s">
        <v>1707</v>
      </c>
      <c r="D116" s="23">
        <v>6.1400000000000003E-2</v>
      </c>
    </row>
    <row r="117" spans="1:4" ht="14.1" customHeight="1">
      <c r="A117" s="14">
        <f t="shared" si="3"/>
        <v>110</v>
      </c>
      <c r="B117" s="15" t="s">
        <v>1769</v>
      </c>
      <c r="C117" s="16" t="s">
        <v>1707</v>
      </c>
      <c r="D117" s="23">
        <v>6.0600000000000001E-2</v>
      </c>
    </row>
    <row r="118" spans="1:4" ht="14.1" customHeight="1">
      <c r="A118" s="14">
        <f t="shared" si="3"/>
        <v>111</v>
      </c>
      <c r="B118" s="15" t="s">
        <v>1770</v>
      </c>
      <c r="C118" s="16" t="s">
        <v>1707</v>
      </c>
      <c r="D118" s="23">
        <v>5.9900000000000002E-2</v>
      </c>
    </row>
    <row r="119" spans="1:4" ht="14.1" customHeight="1">
      <c r="A119" s="14">
        <f t="shared" si="3"/>
        <v>112</v>
      </c>
      <c r="B119" s="15" t="s">
        <v>1771</v>
      </c>
      <c r="C119" s="16" t="s">
        <v>1707</v>
      </c>
      <c r="D119" s="23">
        <v>5.9200000000000003E-2</v>
      </c>
    </row>
    <row r="120" spans="1:4" ht="14.1" customHeight="1">
      <c r="A120" s="14">
        <f t="shared" si="3"/>
        <v>113</v>
      </c>
      <c r="B120" s="15" t="s">
        <v>1772</v>
      </c>
      <c r="C120" s="16" t="s">
        <v>1707</v>
      </c>
      <c r="D120" s="23">
        <v>6.4100000000000004E-2</v>
      </c>
    </row>
    <row r="121" spans="1:4" ht="14.1" customHeight="1">
      <c r="A121" s="14">
        <f t="shared" si="3"/>
        <v>114</v>
      </c>
      <c r="B121" s="15" t="s">
        <v>1773</v>
      </c>
      <c r="C121" s="16" t="s">
        <v>1707</v>
      </c>
      <c r="D121" s="23">
        <v>5.9499999999999997E-2</v>
      </c>
    </row>
    <row r="122" spans="1:4" ht="14.1" customHeight="1">
      <c r="A122" s="14">
        <f t="shared" si="3"/>
        <v>115</v>
      </c>
      <c r="B122" s="15" t="s">
        <v>1774</v>
      </c>
      <c r="C122" s="16" t="s">
        <v>1707</v>
      </c>
      <c r="D122" s="23">
        <v>5.6000000000000001E-2</v>
      </c>
    </row>
    <row r="123" spans="1:4" ht="14.1" customHeight="1">
      <c r="A123" s="14">
        <f t="shared" si="3"/>
        <v>116</v>
      </c>
      <c r="B123" s="15" t="s">
        <v>1775</v>
      </c>
      <c r="C123" s="16" t="s">
        <v>1707</v>
      </c>
      <c r="D123" s="23">
        <v>5.33E-2</v>
      </c>
    </row>
    <row r="124" spans="1:4" ht="14.1" customHeight="1">
      <c r="A124" s="14">
        <f t="shared" si="3"/>
        <v>117</v>
      </c>
      <c r="B124" s="15" t="s">
        <v>1776</v>
      </c>
      <c r="C124" s="16" t="s">
        <v>1707</v>
      </c>
      <c r="D124" s="23">
        <v>5.11E-2</v>
      </c>
    </row>
    <row r="125" spans="1:4" ht="14.1" customHeight="1">
      <c r="A125" s="14">
        <f t="shared" si="3"/>
        <v>118</v>
      </c>
      <c r="B125" s="15" t="s">
        <v>1777</v>
      </c>
      <c r="C125" s="16" t="s">
        <v>1707</v>
      </c>
      <c r="D125" s="23">
        <v>4.9299999999999997E-2</v>
      </c>
    </row>
    <row r="126" spans="1:4" ht="14.1" customHeight="1">
      <c r="A126" s="14">
        <f t="shared" si="3"/>
        <v>119</v>
      </c>
      <c r="B126" s="15" t="s">
        <v>1778</v>
      </c>
      <c r="C126" s="16" t="s">
        <v>1707</v>
      </c>
      <c r="D126" s="23">
        <v>4.7800000000000002E-2</v>
      </c>
    </row>
    <row r="127" spans="1:4" ht="14.1" customHeight="1">
      <c r="A127" s="14">
        <f t="shared" si="3"/>
        <v>120</v>
      </c>
      <c r="B127" s="15" t="s">
        <v>1779</v>
      </c>
      <c r="C127" s="16" t="s">
        <v>1707</v>
      </c>
      <c r="D127" s="23">
        <v>4.6600000000000003E-2</v>
      </c>
    </row>
    <row r="128" spans="1:4" ht="14.1" customHeight="1">
      <c r="A128" s="14">
        <f t="shared" si="3"/>
        <v>121</v>
      </c>
      <c r="B128" s="15" t="s">
        <v>1780</v>
      </c>
      <c r="C128" s="16" t="s">
        <v>1707</v>
      </c>
      <c r="D128" s="23">
        <v>4.5499999999999999E-2</v>
      </c>
    </row>
    <row r="129" spans="1:4" ht="14.1" customHeight="1">
      <c r="A129" s="14">
        <f t="shared" si="3"/>
        <v>122</v>
      </c>
      <c r="B129" s="15" t="s">
        <v>1781</v>
      </c>
      <c r="C129" s="16" t="s">
        <v>1707</v>
      </c>
      <c r="D129" s="23">
        <v>4.4600000000000001E-2</v>
      </c>
    </row>
    <row r="130" spans="1:4" ht="14.1" customHeight="1">
      <c r="A130" s="14">
        <f t="shared" si="3"/>
        <v>123</v>
      </c>
      <c r="B130" s="15" t="s">
        <v>1782</v>
      </c>
      <c r="C130" s="16" t="s">
        <v>1707</v>
      </c>
      <c r="D130" s="23">
        <v>4.3799999999999999E-2</v>
      </c>
    </row>
    <row r="131" spans="1:4" ht="14.1" customHeight="1">
      <c r="A131" s="14">
        <f t="shared" si="3"/>
        <v>124</v>
      </c>
      <c r="B131" s="15" t="s">
        <v>1783</v>
      </c>
      <c r="C131" s="16" t="s">
        <v>1707</v>
      </c>
      <c r="D131" s="23">
        <v>4.3099999999999999E-2</v>
      </c>
    </row>
    <row r="132" spans="1:4" ht="14.1" customHeight="1">
      <c r="A132" s="14">
        <f t="shared" si="3"/>
        <v>125</v>
      </c>
      <c r="B132" s="15" t="s">
        <v>1784</v>
      </c>
      <c r="C132" s="16" t="s">
        <v>1707</v>
      </c>
      <c r="D132" s="23">
        <v>4.24E-2</v>
      </c>
    </row>
    <row r="133" spans="1:4" ht="14.1" customHeight="1">
      <c r="A133" s="14">
        <f t="shared" si="3"/>
        <v>126</v>
      </c>
      <c r="B133" s="15" t="s">
        <v>1785</v>
      </c>
      <c r="C133" s="16" t="s">
        <v>1707</v>
      </c>
      <c r="D133" s="23">
        <v>5.7700000000000001E-2</v>
      </c>
    </row>
    <row r="134" spans="1:4" ht="14.1" customHeight="1">
      <c r="A134" s="14">
        <f t="shared" si="3"/>
        <v>127</v>
      </c>
      <c r="B134" s="15" t="s">
        <v>1786</v>
      </c>
      <c r="C134" s="16" t="s">
        <v>1707</v>
      </c>
      <c r="D134" s="23">
        <v>5.3100000000000001E-2</v>
      </c>
    </row>
    <row r="135" spans="1:4" ht="14.1" customHeight="1">
      <c r="A135" s="14">
        <f t="shared" si="3"/>
        <v>128</v>
      </c>
      <c r="B135" s="15" t="s">
        <v>1787</v>
      </c>
      <c r="C135" s="16" t="s">
        <v>1707</v>
      </c>
      <c r="D135" s="23">
        <v>4.9599999999999998E-2</v>
      </c>
    </row>
    <row r="136" spans="1:4" ht="14.1" customHeight="1">
      <c r="A136" s="14">
        <f t="shared" si="3"/>
        <v>129</v>
      </c>
      <c r="B136" s="15" t="s">
        <v>1788</v>
      </c>
      <c r="C136" s="16" t="s">
        <v>1707</v>
      </c>
      <c r="D136" s="23">
        <v>4.6899999999999997E-2</v>
      </c>
    </row>
    <row r="137" spans="1:4" ht="14.1" customHeight="1">
      <c r="A137" s="14">
        <f t="shared" si="3"/>
        <v>130</v>
      </c>
      <c r="B137" s="15" t="s">
        <v>1789</v>
      </c>
      <c r="C137" s="16" t="s">
        <v>1707</v>
      </c>
      <c r="D137" s="23">
        <v>4.4699999999999997E-2</v>
      </c>
    </row>
    <row r="138" spans="1:4" ht="14.1" customHeight="1">
      <c r="A138" s="14">
        <f t="shared" si="3"/>
        <v>131</v>
      </c>
      <c r="B138" s="15" t="s">
        <v>1790</v>
      </c>
      <c r="C138" s="16" t="s">
        <v>1707</v>
      </c>
      <c r="D138" s="23">
        <v>4.2999999999999997E-2</v>
      </c>
    </row>
    <row r="139" spans="1:4" ht="14.1" customHeight="1">
      <c r="A139" s="14">
        <f t="shared" si="3"/>
        <v>132</v>
      </c>
      <c r="B139" s="15" t="s">
        <v>1791</v>
      </c>
      <c r="C139" s="16" t="s">
        <v>1707</v>
      </c>
      <c r="D139" s="23">
        <v>4.1500000000000002E-2</v>
      </c>
    </row>
    <row r="140" spans="1:4" ht="14.1" customHeight="1">
      <c r="A140" s="14">
        <f t="shared" si="3"/>
        <v>133</v>
      </c>
      <c r="B140" s="15" t="s">
        <v>1792</v>
      </c>
      <c r="C140" s="16" t="s">
        <v>1707</v>
      </c>
      <c r="D140" s="23">
        <v>4.02E-2</v>
      </c>
    </row>
    <row r="141" spans="1:4" ht="14.1" customHeight="1">
      <c r="A141" s="14">
        <f t="shared" si="3"/>
        <v>134</v>
      </c>
      <c r="B141" s="15" t="s">
        <v>1793</v>
      </c>
      <c r="C141" s="16" t="s">
        <v>1707</v>
      </c>
      <c r="D141" s="23">
        <v>3.9199999999999999E-2</v>
      </c>
    </row>
    <row r="142" spans="1:4" ht="14.1" customHeight="1">
      <c r="A142" s="14">
        <f t="shared" si="3"/>
        <v>135</v>
      </c>
      <c r="B142" s="15" t="s">
        <v>1794</v>
      </c>
      <c r="C142" s="16" t="s">
        <v>1707</v>
      </c>
      <c r="D142" s="23">
        <v>3.8199999999999998E-2</v>
      </c>
    </row>
    <row r="143" spans="1:4" ht="14.1" customHeight="1">
      <c r="A143" s="14">
        <f t="shared" si="3"/>
        <v>136</v>
      </c>
      <c r="B143" s="15" t="s">
        <v>1795</v>
      </c>
      <c r="C143" s="16" t="s">
        <v>1707</v>
      </c>
      <c r="D143" s="23">
        <v>3.7400000000000003E-2</v>
      </c>
    </row>
    <row r="144" spans="1:4" ht="14.1" customHeight="1">
      <c r="A144" s="14">
        <f t="shared" si="3"/>
        <v>137</v>
      </c>
      <c r="B144" s="15" t="s">
        <v>1796</v>
      </c>
      <c r="C144" s="16" t="s">
        <v>1707</v>
      </c>
      <c r="D144" s="23">
        <v>3.6700000000000003E-2</v>
      </c>
    </row>
    <row r="145" spans="1:4" ht="14.1" customHeight="1">
      <c r="A145" s="14">
        <f t="shared" si="3"/>
        <v>138</v>
      </c>
      <c r="B145" s="15" t="s">
        <v>1797</v>
      </c>
      <c r="C145" s="16" t="s">
        <v>1707</v>
      </c>
      <c r="D145" s="23">
        <v>3.61E-2</v>
      </c>
    </row>
    <row r="146" spans="1:4" ht="14.1" customHeight="1">
      <c r="A146" s="14">
        <f t="shared" si="3"/>
        <v>139</v>
      </c>
      <c r="B146" s="15" t="s">
        <v>1798</v>
      </c>
      <c r="C146" s="16" t="s">
        <v>1707</v>
      </c>
      <c r="D146" s="23">
        <v>5.2299999999999999E-2</v>
      </c>
    </row>
    <row r="147" spans="1:4" ht="14.1" customHeight="1">
      <c r="A147" s="14">
        <f t="shared" si="3"/>
        <v>140</v>
      </c>
      <c r="B147" s="15" t="s">
        <v>1799</v>
      </c>
      <c r="C147" s="16" t="s">
        <v>1707</v>
      </c>
      <c r="D147" s="23">
        <v>4.7600000000000003E-2</v>
      </c>
    </row>
    <row r="148" spans="1:4" ht="14.1" customHeight="1">
      <c r="A148" s="14">
        <f t="shared" si="3"/>
        <v>141</v>
      </c>
      <c r="B148" s="15" t="s">
        <v>1800</v>
      </c>
      <c r="C148" s="16" t="s">
        <v>1707</v>
      </c>
      <c r="D148" s="23">
        <v>4.41E-2</v>
      </c>
    </row>
    <row r="149" spans="1:4" ht="14.1" customHeight="1">
      <c r="A149" s="14">
        <f t="shared" ref="A149:A212" si="4">A148+1</f>
        <v>142</v>
      </c>
      <c r="B149" s="15" t="s">
        <v>1801</v>
      </c>
      <c r="C149" s="16" t="s">
        <v>1707</v>
      </c>
      <c r="D149" s="23">
        <v>4.1399999999999999E-2</v>
      </c>
    </row>
    <row r="150" spans="1:4" ht="14.1" customHeight="1">
      <c r="A150" s="14">
        <f t="shared" si="4"/>
        <v>143</v>
      </c>
      <c r="B150" s="15" t="s">
        <v>1802</v>
      </c>
      <c r="C150" s="16" t="s">
        <v>1707</v>
      </c>
      <c r="D150" s="23">
        <v>3.9300000000000002E-2</v>
      </c>
    </row>
    <row r="151" spans="1:4" ht="14.1" customHeight="1">
      <c r="A151" s="14">
        <f t="shared" si="4"/>
        <v>144</v>
      </c>
      <c r="B151" s="15" t="s">
        <v>1803</v>
      </c>
      <c r="C151" s="16" t="s">
        <v>1707</v>
      </c>
      <c r="D151" s="23">
        <v>3.7499999999999999E-2</v>
      </c>
    </row>
    <row r="152" spans="1:4" ht="14.1" customHeight="1">
      <c r="A152" s="14">
        <f t="shared" si="4"/>
        <v>145</v>
      </c>
      <c r="B152" s="15" t="s">
        <v>1804</v>
      </c>
      <c r="C152" s="16" t="s">
        <v>1707</v>
      </c>
      <c r="D152" s="23">
        <v>3.5999999999999997E-2</v>
      </c>
    </row>
    <row r="153" spans="1:4" ht="14.1" customHeight="1">
      <c r="A153" s="14">
        <f t="shared" si="4"/>
        <v>146</v>
      </c>
      <c r="B153" s="15" t="s">
        <v>1805</v>
      </c>
      <c r="C153" s="16" t="s">
        <v>1707</v>
      </c>
      <c r="D153" s="23">
        <v>3.4799999999999998E-2</v>
      </c>
    </row>
    <row r="154" spans="1:4" ht="14.1" customHeight="1">
      <c r="A154" s="14">
        <f t="shared" si="4"/>
        <v>147</v>
      </c>
      <c r="B154" s="15" t="s">
        <v>1806</v>
      </c>
      <c r="C154" s="16" t="s">
        <v>1707</v>
      </c>
      <c r="D154" s="23">
        <v>3.3700000000000001E-2</v>
      </c>
    </row>
    <row r="155" spans="1:4" ht="14.1" customHeight="1">
      <c r="A155" s="14">
        <f t="shared" si="4"/>
        <v>148</v>
      </c>
      <c r="B155" s="15" t="s">
        <v>1807</v>
      </c>
      <c r="C155" s="16" t="s">
        <v>1707</v>
      </c>
      <c r="D155" s="23">
        <v>3.2800000000000003E-2</v>
      </c>
    </row>
    <row r="156" spans="1:4" ht="14.1" customHeight="1">
      <c r="A156" s="14">
        <f t="shared" si="4"/>
        <v>149</v>
      </c>
      <c r="B156" s="15" t="s">
        <v>1808</v>
      </c>
      <c r="C156" s="16" t="s">
        <v>1707</v>
      </c>
      <c r="D156" s="23">
        <v>3.1899999999999998E-2</v>
      </c>
    </row>
    <row r="157" spans="1:4" ht="14.1" customHeight="1">
      <c r="A157" s="14">
        <f t="shared" si="4"/>
        <v>150</v>
      </c>
      <c r="B157" s="15" t="s">
        <v>1809</v>
      </c>
      <c r="C157" s="16" t="s">
        <v>1707</v>
      </c>
      <c r="D157" s="23">
        <v>3.1199999999999999E-2</v>
      </c>
    </row>
    <row r="158" spans="1:4" ht="14.1" customHeight="1">
      <c r="A158" s="14">
        <f t="shared" si="4"/>
        <v>151</v>
      </c>
      <c r="B158" s="15" t="s">
        <v>1810</v>
      </c>
      <c r="C158" s="16" t="s">
        <v>1707</v>
      </c>
      <c r="D158" s="23">
        <v>3.0599999999999999E-2</v>
      </c>
    </row>
    <row r="159" spans="1:4" ht="14.1" customHeight="1">
      <c r="A159" s="14">
        <f t="shared" si="4"/>
        <v>152</v>
      </c>
      <c r="B159" s="15" t="s">
        <v>1811</v>
      </c>
      <c r="C159" s="16" t="s">
        <v>1707</v>
      </c>
      <c r="D159" s="23">
        <v>7.3200000000000001E-2</v>
      </c>
    </row>
    <row r="160" spans="1:4" ht="14.1" customHeight="1">
      <c r="A160" s="14">
        <f t="shared" si="4"/>
        <v>153</v>
      </c>
      <c r="B160" s="15" t="s">
        <v>1812</v>
      </c>
      <c r="C160" s="16" t="s">
        <v>1707</v>
      </c>
      <c r="D160" s="23">
        <v>6.9699999999999998E-2</v>
      </c>
    </row>
    <row r="161" spans="1:4" ht="14.1" customHeight="1">
      <c r="A161" s="14">
        <f t="shared" si="4"/>
        <v>154</v>
      </c>
      <c r="B161" s="15" t="s">
        <v>1888</v>
      </c>
      <c r="C161" s="16" t="s">
        <v>1707</v>
      </c>
      <c r="D161" s="23">
        <v>6.7000000000000004E-2</v>
      </c>
    </row>
    <row r="162" spans="1:4" ht="14.1" customHeight="1">
      <c r="A162" s="14">
        <f t="shared" si="4"/>
        <v>155</v>
      </c>
      <c r="B162" s="15" t="s">
        <v>1889</v>
      </c>
      <c r="C162" s="16" t="s">
        <v>1707</v>
      </c>
      <c r="D162" s="23">
        <v>6.4899999999999999E-2</v>
      </c>
    </row>
    <row r="163" spans="1:4" ht="14.1" customHeight="1">
      <c r="A163" s="14">
        <f t="shared" si="4"/>
        <v>156</v>
      </c>
      <c r="B163" s="15" t="s">
        <v>1890</v>
      </c>
      <c r="C163" s="16" t="s">
        <v>1707</v>
      </c>
      <c r="D163" s="23">
        <v>6.3299999999999995E-2</v>
      </c>
    </row>
    <row r="164" spans="1:4" ht="14.1" customHeight="1">
      <c r="A164" s="14">
        <f t="shared" si="4"/>
        <v>157</v>
      </c>
      <c r="B164" s="15" t="s">
        <v>1891</v>
      </c>
      <c r="C164" s="16" t="s">
        <v>1707</v>
      </c>
      <c r="D164" s="23">
        <v>6.1899999999999997E-2</v>
      </c>
    </row>
    <row r="165" spans="1:4" ht="14.1" customHeight="1">
      <c r="A165" s="14">
        <f t="shared" si="4"/>
        <v>158</v>
      </c>
      <c r="B165" s="15" t="s">
        <v>1892</v>
      </c>
      <c r="C165" s="16" t="s">
        <v>1707</v>
      </c>
      <c r="D165" s="23">
        <v>6.08E-2</v>
      </c>
    </row>
    <row r="166" spans="1:4" ht="14.1" customHeight="1">
      <c r="A166" s="14">
        <f t="shared" si="4"/>
        <v>159</v>
      </c>
      <c r="B166" s="15" t="s">
        <v>1893</v>
      </c>
      <c r="C166" s="16" t="s">
        <v>1707</v>
      </c>
      <c r="D166" s="23">
        <v>5.9799999999999999E-2</v>
      </c>
    </row>
    <row r="167" spans="1:4" ht="14.1" customHeight="1">
      <c r="A167" s="14">
        <f t="shared" si="4"/>
        <v>160</v>
      </c>
      <c r="B167" s="15" t="s">
        <v>1894</v>
      </c>
      <c r="C167" s="16" t="s">
        <v>1707</v>
      </c>
      <c r="D167" s="23">
        <v>5.8999999999999997E-2</v>
      </c>
    </row>
    <row r="168" spans="1:4" ht="14.1" customHeight="1">
      <c r="A168" s="14">
        <f t="shared" si="4"/>
        <v>161</v>
      </c>
      <c r="B168" s="15" t="s">
        <v>1895</v>
      </c>
      <c r="C168" s="16" t="s">
        <v>1707</v>
      </c>
      <c r="D168" s="23">
        <v>5.8299999999999998E-2</v>
      </c>
    </row>
    <row r="169" spans="1:4" ht="14.1" customHeight="1">
      <c r="A169" s="14">
        <f t="shared" si="4"/>
        <v>162</v>
      </c>
      <c r="B169" s="15" t="s">
        <v>1896</v>
      </c>
      <c r="C169" s="16" t="s">
        <v>1707</v>
      </c>
      <c r="D169" s="23">
        <v>5.7700000000000001E-2</v>
      </c>
    </row>
    <row r="170" spans="1:4" ht="14.1" customHeight="1">
      <c r="A170" s="14">
        <f t="shared" si="4"/>
        <v>163</v>
      </c>
      <c r="B170" s="15" t="s">
        <v>1897</v>
      </c>
      <c r="C170" s="16" t="s">
        <v>1707</v>
      </c>
      <c r="D170" s="23">
        <v>5.7099999999999998E-2</v>
      </c>
    </row>
    <row r="171" spans="1:4" ht="14.1" customHeight="1">
      <c r="A171" s="14">
        <f t="shared" si="4"/>
        <v>164</v>
      </c>
      <c r="B171" s="15" t="s">
        <v>1898</v>
      </c>
      <c r="C171" s="16" t="s">
        <v>1707</v>
      </c>
      <c r="D171" s="23">
        <v>5.67E-2</v>
      </c>
    </row>
    <row r="172" spans="1:4" ht="14.1" customHeight="1">
      <c r="A172" s="14">
        <f t="shared" si="4"/>
        <v>165</v>
      </c>
      <c r="B172" s="15" t="s">
        <v>1899</v>
      </c>
      <c r="C172" s="16" t="s">
        <v>1707</v>
      </c>
      <c r="D172" s="23">
        <v>5.6399999999999999E-2</v>
      </c>
    </row>
    <row r="173" spans="1:4" ht="14.1" customHeight="1">
      <c r="A173" s="14">
        <f t="shared" si="4"/>
        <v>166</v>
      </c>
      <c r="B173" s="15" t="s">
        <v>1900</v>
      </c>
      <c r="C173" s="16" t="s">
        <v>1707</v>
      </c>
      <c r="D173" s="23">
        <v>5.2900000000000003E-2</v>
      </c>
    </row>
    <row r="174" spans="1:4" ht="14.1" customHeight="1">
      <c r="A174" s="14">
        <f t="shared" si="4"/>
        <v>167</v>
      </c>
      <c r="B174" s="15" t="s">
        <v>1901</v>
      </c>
      <c r="C174" s="16" t="s">
        <v>1707</v>
      </c>
      <c r="D174" s="23">
        <v>5.0200000000000002E-2</v>
      </c>
    </row>
    <row r="175" spans="1:4" ht="14.1" customHeight="1">
      <c r="A175" s="14">
        <f t="shared" si="4"/>
        <v>168</v>
      </c>
      <c r="B175" s="15" t="s">
        <v>1902</v>
      </c>
      <c r="C175" s="16" t="s">
        <v>1707</v>
      </c>
      <c r="D175" s="23">
        <v>4.8099999999999997E-2</v>
      </c>
    </row>
    <row r="176" spans="1:4" ht="14.1" customHeight="1">
      <c r="A176" s="14">
        <f t="shared" si="4"/>
        <v>169</v>
      </c>
      <c r="B176" s="15" t="s">
        <v>1903</v>
      </c>
      <c r="C176" s="16" t="s">
        <v>1707</v>
      </c>
      <c r="D176" s="23">
        <v>4.65E-2</v>
      </c>
    </row>
    <row r="177" spans="1:4" ht="14.1" customHeight="1">
      <c r="A177" s="14">
        <f t="shared" si="4"/>
        <v>170</v>
      </c>
      <c r="B177" s="15" t="s">
        <v>1904</v>
      </c>
      <c r="C177" s="16" t="s">
        <v>1707</v>
      </c>
      <c r="D177" s="23">
        <v>5.0999999999999997E-2</v>
      </c>
    </row>
    <row r="178" spans="1:4" ht="14.1" customHeight="1">
      <c r="A178" s="14">
        <f t="shared" si="4"/>
        <v>171</v>
      </c>
      <c r="B178" s="15" t="s">
        <v>1905</v>
      </c>
      <c r="C178" s="16" t="s">
        <v>1707</v>
      </c>
      <c r="D178" s="23">
        <v>4.3999999999999997E-2</v>
      </c>
    </row>
    <row r="179" spans="1:4" ht="14.1" customHeight="1">
      <c r="A179" s="14">
        <f t="shared" si="4"/>
        <v>172</v>
      </c>
      <c r="B179" s="15" t="s">
        <v>1906</v>
      </c>
      <c r="C179" s="16" t="s">
        <v>1707</v>
      </c>
      <c r="D179" s="23">
        <v>4.2999999999999997E-2</v>
      </c>
    </row>
    <row r="180" spans="1:4" ht="14.1" customHeight="1">
      <c r="A180" s="14">
        <f t="shared" si="4"/>
        <v>173</v>
      </c>
      <c r="B180" s="15" t="s">
        <v>1907</v>
      </c>
      <c r="C180" s="16" t="s">
        <v>1707</v>
      </c>
      <c r="D180" s="23">
        <v>4.2200000000000001E-2</v>
      </c>
    </row>
    <row r="181" spans="1:4" ht="14.1" customHeight="1">
      <c r="A181" s="14">
        <f t="shared" si="4"/>
        <v>174</v>
      </c>
      <c r="B181" s="15" t="s">
        <v>1908</v>
      </c>
      <c r="C181" s="16" t="s">
        <v>1707</v>
      </c>
      <c r="D181" s="23">
        <v>4.1500000000000002E-2</v>
      </c>
    </row>
    <row r="182" spans="1:4" ht="14.1" customHeight="1">
      <c r="A182" s="14">
        <f t="shared" si="4"/>
        <v>175</v>
      </c>
      <c r="B182" s="15" t="s">
        <v>1909</v>
      </c>
      <c r="C182" s="16" t="s">
        <v>1707</v>
      </c>
      <c r="D182" s="23">
        <v>4.0899999999999999E-2</v>
      </c>
    </row>
    <row r="183" spans="1:4" ht="14.1" customHeight="1">
      <c r="A183" s="14">
        <f t="shared" si="4"/>
        <v>176</v>
      </c>
      <c r="B183" s="15" t="s">
        <v>1910</v>
      </c>
      <c r="C183" s="16" t="s">
        <v>1707</v>
      </c>
      <c r="D183" s="23">
        <v>4.0300000000000002E-2</v>
      </c>
    </row>
    <row r="184" spans="1:4" ht="14.1" customHeight="1">
      <c r="A184" s="14">
        <f t="shared" si="4"/>
        <v>177</v>
      </c>
      <c r="B184" s="15" t="s">
        <v>1911</v>
      </c>
      <c r="C184" s="16" t="s">
        <v>1707</v>
      </c>
      <c r="D184" s="23">
        <v>3.9899999999999998E-2</v>
      </c>
    </row>
    <row r="185" spans="1:4" ht="14.1" customHeight="1">
      <c r="A185" s="14">
        <f t="shared" si="4"/>
        <v>178</v>
      </c>
      <c r="B185" s="15" t="s">
        <v>454</v>
      </c>
      <c r="C185" s="16" t="s">
        <v>1707</v>
      </c>
      <c r="D185" s="23">
        <v>5.0099999999999999E-2</v>
      </c>
    </row>
    <row r="186" spans="1:4" ht="14.1" customHeight="1">
      <c r="A186" s="14">
        <f t="shared" si="4"/>
        <v>179</v>
      </c>
      <c r="B186" s="15" t="s">
        <v>455</v>
      </c>
      <c r="C186" s="16" t="s">
        <v>1707</v>
      </c>
      <c r="D186" s="23">
        <v>4.65E-2</v>
      </c>
    </row>
    <row r="187" spans="1:4" ht="14.1" customHeight="1">
      <c r="A187" s="14">
        <f t="shared" si="4"/>
        <v>180</v>
      </c>
      <c r="B187" s="15" t="s">
        <v>456</v>
      </c>
      <c r="C187" s="16" t="s">
        <v>1707</v>
      </c>
      <c r="D187" s="23">
        <v>4.3799999999999999E-2</v>
      </c>
    </row>
    <row r="188" spans="1:4" ht="14.1" customHeight="1">
      <c r="A188" s="14">
        <f t="shared" si="4"/>
        <v>181</v>
      </c>
      <c r="B188" s="15" t="s">
        <v>457</v>
      </c>
      <c r="C188" s="16" t="s">
        <v>1707</v>
      </c>
      <c r="D188" s="23">
        <v>4.1799999999999997E-2</v>
      </c>
    </row>
    <row r="189" spans="1:4" ht="14.1" customHeight="1">
      <c r="A189" s="14">
        <f t="shared" si="4"/>
        <v>182</v>
      </c>
      <c r="B189" s="15" t="s">
        <v>458</v>
      </c>
      <c r="C189" s="16" t="s">
        <v>1707</v>
      </c>
      <c r="D189" s="23">
        <v>4.0099999999999997E-2</v>
      </c>
    </row>
    <row r="190" spans="1:4" ht="14.1" customHeight="1">
      <c r="A190" s="14">
        <f t="shared" si="4"/>
        <v>183</v>
      </c>
      <c r="B190" s="15" t="s">
        <v>459</v>
      </c>
      <c r="C190" s="16" t="s">
        <v>1707</v>
      </c>
      <c r="D190" s="23">
        <v>3.8800000000000001E-2</v>
      </c>
    </row>
    <row r="191" spans="1:4" ht="14.1" customHeight="1">
      <c r="A191" s="14">
        <f t="shared" si="4"/>
        <v>184</v>
      </c>
      <c r="B191" s="15" t="s">
        <v>460</v>
      </c>
      <c r="C191" s="16" t="s">
        <v>1707</v>
      </c>
      <c r="D191" s="23">
        <v>3.7600000000000001E-2</v>
      </c>
    </row>
    <row r="192" spans="1:4" ht="14.1" customHeight="1">
      <c r="A192" s="14">
        <f t="shared" si="4"/>
        <v>185</v>
      </c>
      <c r="B192" s="15" t="s">
        <v>461</v>
      </c>
      <c r="C192" s="16" t="s">
        <v>1707</v>
      </c>
      <c r="D192" s="23">
        <v>3.6700000000000003E-2</v>
      </c>
    </row>
    <row r="193" spans="1:4" ht="14.1" customHeight="1">
      <c r="A193" s="14">
        <f t="shared" si="4"/>
        <v>186</v>
      </c>
      <c r="B193" s="15" t="s">
        <v>462</v>
      </c>
      <c r="C193" s="16" t="s">
        <v>1707</v>
      </c>
      <c r="D193" s="23">
        <v>3.5900000000000001E-2</v>
      </c>
    </row>
    <row r="194" spans="1:4" ht="14.1" customHeight="1">
      <c r="A194" s="14">
        <f t="shared" si="4"/>
        <v>187</v>
      </c>
      <c r="B194" s="15" t="s">
        <v>463</v>
      </c>
      <c r="C194" s="16" t="s">
        <v>1707</v>
      </c>
      <c r="D194" s="23">
        <v>3.5099999999999999E-2</v>
      </c>
    </row>
    <row r="195" spans="1:4" ht="14.1" customHeight="1">
      <c r="A195" s="14">
        <f t="shared" si="4"/>
        <v>188</v>
      </c>
      <c r="B195" s="15" t="s">
        <v>464</v>
      </c>
      <c r="C195" s="16" t="s">
        <v>1707</v>
      </c>
      <c r="D195" s="23">
        <v>3.4500000000000003E-2</v>
      </c>
    </row>
    <row r="196" spans="1:4" ht="14.1" customHeight="1">
      <c r="A196" s="14">
        <f t="shared" si="4"/>
        <v>189</v>
      </c>
      <c r="B196" s="15" t="s">
        <v>465</v>
      </c>
      <c r="C196" s="16" t="s">
        <v>1707</v>
      </c>
      <c r="D196" s="23">
        <v>3.4000000000000002E-2</v>
      </c>
    </row>
    <row r="197" spans="1:4" ht="14.1" customHeight="1">
      <c r="A197" s="14">
        <f t="shared" si="4"/>
        <v>190</v>
      </c>
      <c r="B197" s="15" t="s">
        <v>466</v>
      </c>
      <c r="C197" s="16" t="s">
        <v>1707</v>
      </c>
      <c r="D197" s="23">
        <v>3.3500000000000002E-2</v>
      </c>
    </row>
    <row r="198" spans="1:4" ht="14.1" customHeight="1">
      <c r="A198" s="14">
        <f t="shared" si="4"/>
        <v>191</v>
      </c>
      <c r="B198" s="15" t="s">
        <v>467</v>
      </c>
      <c r="C198" s="16" t="s">
        <v>1707</v>
      </c>
      <c r="D198" s="23">
        <v>4.4600000000000001E-2</v>
      </c>
    </row>
    <row r="199" spans="1:4" ht="14.1" customHeight="1">
      <c r="A199" s="14">
        <f t="shared" si="4"/>
        <v>192</v>
      </c>
      <c r="B199" s="15" t="s">
        <v>468</v>
      </c>
      <c r="C199" s="16" t="s">
        <v>1707</v>
      </c>
      <c r="D199" s="23">
        <v>4.1000000000000002E-2</v>
      </c>
    </row>
    <row r="200" spans="1:4" ht="14.1" customHeight="1">
      <c r="A200" s="14">
        <f t="shared" si="4"/>
        <v>193</v>
      </c>
      <c r="B200" s="15" t="s">
        <v>469</v>
      </c>
      <c r="C200" s="16" t="s">
        <v>1707</v>
      </c>
      <c r="D200" s="23">
        <v>3.8399999999999997E-2</v>
      </c>
    </row>
    <row r="201" spans="1:4" ht="14.1" customHeight="1">
      <c r="A201" s="14">
        <f t="shared" si="4"/>
        <v>194</v>
      </c>
      <c r="B201" s="15" t="s">
        <v>470</v>
      </c>
      <c r="C201" s="16" t="s">
        <v>1707</v>
      </c>
      <c r="D201" s="23">
        <v>3.6299999999999999E-2</v>
      </c>
    </row>
    <row r="202" spans="1:4" ht="14.1" customHeight="1">
      <c r="A202" s="14">
        <f t="shared" si="4"/>
        <v>195</v>
      </c>
      <c r="B202" s="15" t="s">
        <v>471</v>
      </c>
      <c r="C202" s="16" t="s">
        <v>1707</v>
      </c>
      <c r="D202" s="23">
        <v>3.4599999999999999E-2</v>
      </c>
    </row>
    <row r="203" spans="1:4" ht="14.1" customHeight="1">
      <c r="A203" s="14">
        <f t="shared" si="4"/>
        <v>196</v>
      </c>
      <c r="B203" s="15" t="s">
        <v>472</v>
      </c>
      <c r="C203" s="16" t="s">
        <v>1707</v>
      </c>
      <c r="D203" s="23">
        <v>3.3300000000000003E-2</v>
      </c>
    </row>
    <row r="204" spans="1:4" ht="14.1" customHeight="1">
      <c r="A204" s="14">
        <f t="shared" si="4"/>
        <v>197</v>
      </c>
      <c r="B204" s="15" t="s">
        <v>473</v>
      </c>
      <c r="C204" s="16" t="s">
        <v>1707</v>
      </c>
      <c r="D204" s="23">
        <v>3.2199999999999999E-2</v>
      </c>
    </row>
    <row r="205" spans="1:4" ht="14.1" customHeight="1">
      <c r="A205" s="14">
        <f t="shared" si="4"/>
        <v>198</v>
      </c>
      <c r="B205" s="15" t="s">
        <v>474</v>
      </c>
      <c r="C205" s="16" t="s">
        <v>1707</v>
      </c>
      <c r="D205" s="23">
        <v>3.1199999999999999E-2</v>
      </c>
    </row>
    <row r="206" spans="1:4" ht="14.1" customHeight="1">
      <c r="A206" s="14">
        <f t="shared" si="4"/>
        <v>199</v>
      </c>
      <c r="B206" s="15" t="s">
        <v>475</v>
      </c>
      <c r="C206" s="16" t="s">
        <v>1707</v>
      </c>
      <c r="D206" s="23">
        <v>3.04E-2</v>
      </c>
    </row>
    <row r="207" spans="1:4" ht="14.1" customHeight="1">
      <c r="A207" s="14">
        <f t="shared" si="4"/>
        <v>200</v>
      </c>
      <c r="B207" s="15" t="s">
        <v>476</v>
      </c>
      <c r="C207" s="16" t="s">
        <v>1707</v>
      </c>
      <c r="D207" s="23">
        <v>2.9700000000000001E-2</v>
      </c>
    </row>
    <row r="208" spans="1:4" ht="14.1" customHeight="1">
      <c r="A208" s="14">
        <f t="shared" si="4"/>
        <v>201</v>
      </c>
      <c r="B208" s="15" t="s">
        <v>477</v>
      </c>
      <c r="C208" s="16" t="s">
        <v>1707</v>
      </c>
      <c r="D208" s="23">
        <v>2.9100000000000001E-2</v>
      </c>
    </row>
    <row r="209" spans="1:4" ht="14.1" customHeight="1">
      <c r="A209" s="14">
        <f t="shared" si="4"/>
        <v>202</v>
      </c>
      <c r="B209" s="15" t="s">
        <v>478</v>
      </c>
      <c r="C209" s="16" t="s">
        <v>1707</v>
      </c>
      <c r="D209" s="23">
        <v>2.8500000000000001E-2</v>
      </c>
    </row>
    <row r="210" spans="1:4" ht="14.1" customHeight="1">
      <c r="A210" s="14">
        <f t="shared" si="4"/>
        <v>203</v>
      </c>
      <c r="B210" s="15" t="s">
        <v>479</v>
      </c>
      <c r="C210" s="16" t="s">
        <v>1707</v>
      </c>
      <c r="D210" s="23">
        <v>2.8000000000000001E-2</v>
      </c>
    </row>
    <row r="211" spans="1:4" ht="14.1" customHeight="1">
      <c r="A211" s="14">
        <f t="shared" si="4"/>
        <v>204</v>
      </c>
      <c r="B211" s="15" t="s">
        <v>480</v>
      </c>
      <c r="C211" s="16" t="s">
        <v>1707</v>
      </c>
      <c r="D211" s="23">
        <v>6.2600000000000003E-2</v>
      </c>
    </row>
    <row r="212" spans="1:4" ht="14.1" customHeight="1">
      <c r="A212" s="14">
        <f t="shared" si="4"/>
        <v>205</v>
      </c>
      <c r="B212" s="15" t="s">
        <v>481</v>
      </c>
      <c r="C212" s="16" t="s">
        <v>1707</v>
      </c>
      <c r="D212" s="23">
        <v>6.0600000000000001E-2</v>
      </c>
    </row>
    <row r="213" spans="1:4" ht="14.1" customHeight="1">
      <c r="A213" s="14">
        <f t="shared" ref="A213:A276" si="5">A212+1</f>
        <v>206</v>
      </c>
      <c r="B213" s="15" t="s">
        <v>482</v>
      </c>
      <c r="C213" s="16" t="s">
        <v>1707</v>
      </c>
      <c r="D213" s="23">
        <v>5.8999999999999997E-2</v>
      </c>
    </row>
    <row r="214" spans="1:4" ht="14.1" customHeight="1">
      <c r="A214" s="14">
        <f t="shared" si="5"/>
        <v>207</v>
      </c>
      <c r="B214" s="15" t="s">
        <v>483</v>
      </c>
      <c r="C214" s="16" t="s">
        <v>1707</v>
      </c>
      <c r="D214" s="23">
        <v>5.7799999999999997E-2</v>
      </c>
    </row>
    <row r="215" spans="1:4" ht="14.1" customHeight="1">
      <c r="A215" s="14">
        <f t="shared" si="5"/>
        <v>208</v>
      </c>
      <c r="B215" s="15" t="s">
        <v>484</v>
      </c>
      <c r="C215" s="16" t="s">
        <v>1707</v>
      </c>
      <c r="D215" s="23">
        <v>5.6899999999999999E-2</v>
      </c>
    </row>
    <row r="216" spans="1:4" ht="14.1" customHeight="1">
      <c r="A216" s="14">
        <f t="shared" si="5"/>
        <v>209</v>
      </c>
      <c r="B216" s="15" t="s">
        <v>485</v>
      </c>
      <c r="C216" s="16" t="s">
        <v>1707</v>
      </c>
      <c r="D216" s="23">
        <v>5.6099999999999997E-2</v>
      </c>
    </row>
    <row r="217" spans="1:4" ht="14.1" customHeight="1">
      <c r="A217" s="14">
        <f t="shared" si="5"/>
        <v>210</v>
      </c>
      <c r="B217" s="15" t="s">
        <v>486</v>
      </c>
      <c r="C217" s="16" t="s">
        <v>1707</v>
      </c>
      <c r="D217" s="23">
        <v>5.5500000000000001E-2</v>
      </c>
    </row>
    <row r="218" spans="1:4" ht="14.1" customHeight="1">
      <c r="A218" s="14">
        <f t="shared" si="5"/>
        <v>211</v>
      </c>
      <c r="B218" s="15" t="s">
        <v>487</v>
      </c>
      <c r="C218" s="16" t="s">
        <v>1707</v>
      </c>
      <c r="D218" s="23">
        <v>5.4899999999999997E-2</v>
      </c>
    </row>
    <row r="219" spans="1:4" ht="14.1" customHeight="1">
      <c r="A219" s="14">
        <f t="shared" si="5"/>
        <v>212</v>
      </c>
      <c r="B219" s="15" t="s">
        <v>488</v>
      </c>
      <c r="C219" s="16" t="s">
        <v>1707</v>
      </c>
      <c r="D219" s="23">
        <v>5.45E-2</v>
      </c>
    </row>
    <row r="220" spans="1:4" ht="14.1" customHeight="1">
      <c r="A220" s="14">
        <f t="shared" si="5"/>
        <v>213</v>
      </c>
      <c r="B220" s="15" t="s">
        <v>489</v>
      </c>
      <c r="C220" s="16" t="s">
        <v>1707</v>
      </c>
      <c r="D220" s="23">
        <v>5.4100000000000002E-2</v>
      </c>
    </row>
    <row r="221" spans="1:4" ht="14.1" customHeight="1">
      <c r="A221" s="14">
        <f t="shared" si="5"/>
        <v>214</v>
      </c>
      <c r="B221" s="15" t="s">
        <v>490</v>
      </c>
      <c r="C221" s="16" t="s">
        <v>1707</v>
      </c>
      <c r="D221" s="23">
        <v>5.3699999999999998E-2</v>
      </c>
    </row>
    <row r="222" spans="1:4" ht="14.1" customHeight="1">
      <c r="A222" s="14">
        <f t="shared" si="5"/>
        <v>215</v>
      </c>
      <c r="B222" s="15" t="s">
        <v>491</v>
      </c>
      <c r="C222" s="16" t="s">
        <v>1707</v>
      </c>
      <c r="D222" s="23">
        <v>5.3400000000000003E-2</v>
      </c>
    </row>
    <row r="223" spans="1:4" ht="14.1" customHeight="1">
      <c r="A223" s="14">
        <f t="shared" si="5"/>
        <v>216</v>
      </c>
      <c r="B223" s="15" t="s">
        <v>492</v>
      </c>
      <c r="C223" s="16" t="s">
        <v>1707</v>
      </c>
      <c r="D223" s="23">
        <v>5.3100000000000001E-2</v>
      </c>
    </row>
    <row r="224" spans="1:4" ht="14.1" customHeight="1">
      <c r="A224" s="14">
        <f t="shared" si="5"/>
        <v>217</v>
      </c>
      <c r="B224" s="15" t="s">
        <v>493</v>
      </c>
      <c r="C224" s="16" t="s">
        <v>1707</v>
      </c>
      <c r="D224" s="23">
        <v>4.58E-2</v>
      </c>
    </row>
    <row r="225" spans="1:4" ht="14.1" customHeight="1">
      <c r="A225" s="14">
        <f t="shared" si="5"/>
        <v>218</v>
      </c>
      <c r="B225" s="15" t="s">
        <v>494</v>
      </c>
      <c r="C225" s="16" t="s">
        <v>1707</v>
      </c>
      <c r="D225" s="23">
        <v>4.3700000000000003E-2</v>
      </c>
    </row>
    <row r="226" spans="1:4" ht="14.1" customHeight="1">
      <c r="A226" s="14">
        <f t="shared" si="5"/>
        <v>219</v>
      </c>
      <c r="B226" s="15" t="s">
        <v>495</v>
      </c>
      <c r="C226" s="16" t="s">
        <v>1707</v>
      </c>
      <c r="D226" s="23">
        <v>4.2200000000000001E-2</v>
      </c>
    </row>
    <row r="227" spans="1:4" ht="14.1" customHeight="1">
      <c r="A227" s="14">
        <f t="shared" si="5"/>
        <v>220</v>
      </c>
      <c r="B227" s="15" t="s">
        <v>496</v>
      </c>
      <c r="C227" s="16" t="s">
        <v>1707</v>
      </c>
      <c r="D227" s="23">
        <v>4.1000000000000002E-2</v>
      </c>
    </row>
    <row r="228" spans="1:4" ht="14.1" customHeight="1">
      <c r="A228" s="14">
        <f t="shared" si="5"/>
        <v>221</v>
      </c>
      <c r="B228" s="15" t="s">
        <v>497</v>
      </c>
      <c r="C228" s="16" t="s">
        <v>1707</v>
      </c>
      <c r="D228" s="23">
        <v>4.0099999999999997E-2</v>
      </c>
    </row>
    <row r="229" spans="1:4" ht="14.1" customHeight="1">
      <c r="A229" s="14">
        <f t="shared" si="5"/>
        <v>222</v>
      </c>
      <c r="B229" s="15" t="s">
        <v>498</v>
      </c>
      <c r="C229" s="16" t="s">
        <v>1707</v>
      </c>
      <c r="D229" s="23">
        <v>3.9300000000000002E-2</v>
      </c>
    </row>
    <row r="230" spans="1:4" ht="14.1" customHeight="1">
      <c r="A230" s="14">
        <f t="shared" si="5"/>
        <v>223</v>
      </c>
      <c r="B230" s="15" t="s">
        <v>499</v>
      </c>
      <c r="C230" s="16" t="s">
        <v>1707</v>
      </c>
      <c r="D230" s="23">
        <v>3.8699999999999998E-2</v>
      </c>
    </row>
    <row r="231" spans="1:4" ht="14.1" customHeight="1">
      <c r="A231" s="14">
        <f t="shared" si="5"/>
        <v>224</v>
      </c>
      <c r="B231" s="15" t="s">
        <v>500</v>
      </c>
      <c r="C231" s="16" t="s">
        <v>1707</v>
      </c>
      <c r="D231" s="23">
        <v>3.8100000000000002E-2</v>
      </c>
    </row>
    <row r="232" spans="1:4" ht="14.1" customHeight="1">
      <c r="A232" s="14">
        <f t="shared" si="5"/>
        <v>225</v>
      </c>
      <c r="B232" s="15" t="s">
        <v>501</v>
      </c>
      <c r="C232" s="16" t="s">
        <v>1707</v>
      </c>
      <c r="D232" s="23">
        <v>3.7699999999999997E-2</v>
      </c>
    </row>
    <row r="233" spans="1:4" ht="14.1" customHeight="1">
      <c r="A233" s="14">
        <f t="shared" si="5"/>
        <v>226</v>
      </c>
      <c r="B233" s="15" t="s">
        <v>502</v>
      </c>
      <c r="C233" s="16" t="s">
        <v>1707</v>
      </c>
      <c r="D233" s="23">
        <v>3.73E-2</v>
      </c>
    </row>
    <row r="234" spans="1:4" ht="14.1" customHeight="1">
      <c r="A234" s="14">
        <f t="shared" si="5"/>
        <v>227</v>
      </c>
      <c r="B234" s="15" t="s">
        <v>503</v>
      </c>
      <c r="C234" s="16" t="s">
        <v>1707</v>
      </c>
      <c r="D234" s="23">
        <v>3.6900000000000002E-2</v>
      </c>
    </row>
    <row r="235" spans="1:4" ht="14.1" customHeight="1">
      <c r="A235" s="14">
        <f t="shared" si="5"/>
        <v>228</v>
      </c>
      <c r="B235" s="15" t="s">
        <v>504</v>
      </c>
      <c r="C235" s="16" t="s">
        <v>1707</v>
      </c>
      <c r="D235" s="23">
        <v>3.6600000000000001E-2</v>
      </c>
    </row>
    <row r="236" spans="1:4" ht="14.1" customHeight="1">
      <c r="A236" s="14">
        <f t="shared" si="5"/>
        <v>229</v>
      </c>
      <c r="B236" s="15" t="s">
        <v>505</v>
      </c>
      <c r="C236" s="16" t="s">
        <v>1707</v>
      </c>
      <c r="D236" s="23">
        <v>3.6299999999999999E-2</v>
      </c>
    </row>
    <row r="237" spans="1:4" ht="14.1" customHeight="1">
      <c r="A237" s="14">
        <f t="shared" si="5"/>
        <v>230</v>
      </c>
      <c r="B237" s="15" t="s">
        <v>506</v>
      </c>
      <c r="C237" s="16" t="s">
        <v>1707</v>
      </c>
      <c r="D237" s="23">
        <v>3.9399999999999998E-2</v>
      </c>
    </row>
    <row r="238" spans="1:4" ht="14.1" customHeight="1">
      <c r="A238" s="14">
        <f t="shared" si="5"/>
        <v>231</v>
      </c>
      <c r="B238" s="15" t="s">
        <v>507</v>
      </c>
      <c r="C238" s="16" t="s">
        <v>1707</v>
      </c>
      <c r="D238" s="23">
        <v>3.7400000000000003E-2</v>
      </c>
    </row>
    <row r="239" spans="1:4" ht="14.1" customHeight="1">
      <c r="A239" s="14">
        <f t="shared" si="5"/>
        <v>232</v>
      </c>
      <c r="B239" s="15" t="s">
        <v>508</v>
      </c>
      <c r="C239" s="16" t="s">
        <v>1707</v>
      </c>
      <c r="D239" s="23">
        <v>3.5900000000000001E-2</v>
      </c>
    </row>
    <row r="240" spans="1:4" ht="14.1" customHeight="1">
      <c r="A240" s="14">
        <f t="shared" si="5"/>
        <v>233</v>
      </c>
      <c r="B240" s="15" t="s">
        <v>509</v>
      </c>
      <c r="C240" s="16" t="s">
        <v>1707</v>
      </c>
      <c r="D240" s="23">
        <v>3.4700000000000002E-2</v>
      </c>
    </row>
    <row r="241" spans="1:4" ht="14.1" customHeight="1">
      <c r="A241" s="14">
        <f t="shared" si="5"/>
        <v>234</v>
      </c>
      <c r="B241" s="15" t="s">
        <v>510</v>
      </c>
      <c r="C241" s="16" t="s">
        <v>1707</v>
      </c>
      <c r="D241" s="23">
        <v>3.3700000000000001E-2</v>
      </c>
    </row>
    <row r="242" spans="1:4" ht="14.1" customHeight="1">
      <c r="A242" s="14">
        <f t="shared" si="5"/>
        <v>235</v>
      </c>
      <c r="B242" s="15" t="s">
        <v>511</v>
      </c>
      <c r="C242" s="16" t="s">
        <v>1707</v>
      </c>
      <c r="D242" s="23">
        <v>3.3000000000000002E-2</v>
      </c>
    </row>
    <row r="243" spans="1:4" ht="14.1" customHeight="1">
      <c r="A243" s="14">
        <f t="shared" si="5"/>
        <v>236</v>
      </c>
      <c r="B243" s="15" t="s">
        <v>512</v>
      </c>
      <c r="C243" s="16" t="s">
        <v>1707</v>
      </c>
      <c r="D243" s="23">
        <v>3.2300000000000002E-2</v>
      </c>
    </row>
    <row r="244" spans="1:4" ht="14.1" customHeight="1">
      <c r="A244" s="14">
        <f t="shared" si="5"/>
        <v>237</v>
      </c>
      <c r="B244" s="15" t="s">
        <v>513</v>
      </c>
      <c r="C244" s="16" t="s">
        <v>1707</v>
      </c>
      <c r="D244" s="23">
        <v>3.1800000000000002E-2</v>
      </c>
    </row>
    <row r="245" spans="1:4" ht="14.1" customHeight="1">
      <c r="A245" s="14">
        <f t="shared" si="5"/>
        <v>238</v>
      </c>
      <c r="B245" s="15" t="s">
        <v>514</v>
      </c>
      <c r="C245" s="16" t="s">
        <v>1707</v>
      </c>
      <c r="D245" s="23">
        <v>3.1300000000000001E-2</v>
      </c>
    </row>
    <row r="246" spans="1:4" ht="14.1" customHeight="1">
      <c r="A246" s="14">
        <f t="shared" si="5"/>
        <v>239</v>
      </c>
      <c r="B246" s="15" t="s">
        <v>515</v>
      </c>
      <c r="C246" s="16" t="s">
        <v>1707</v>
      </c>
      <c r="D246" s="23">
        <v>3.09E-2</v>
      </c>
    </row>
    <row r="247" spans="1:4" ht="14.1" customHeight="1">
      <c r="A247" s="14">
        <f t="shared" si="5"/>
        <v>240</v>
      </c>
      <c r="B247" s="15" t="s">
        <v>516</v>
      </c>
      <c r="C247" s="16" t="s">
        <v>1707</v>
      </c>
      <c r="D247" s="23">
        <v>3.0499999999999999E-2</v>
      </c>
    </row>
    <row r="248" spans="1:4" ht="14.1" customHeight="1">
      <c r="A248" s="14">
        <f t="shared" si="5"/>
        <v>241</v>
      </c>
      <c r="B248" s="15" t="s">
        <v>517</v>
      </c>
      <c r="C248" s="16" t="s">
        <v>1707</v>
      </c>
      <c r="D248" s="23">
        <v>3.0200000000000001E-2</v>
      </c>
    </row>
    <row r="249" spans="1:4" ht="14.1" customHeight="1">
      <c r="A249" s="14">
        <f t="shared" si="5"/>
        <v>242</v>
      </c>
      <c r="B249" s="15" t="s">
        <v>518</v>
      </c>
      <c r="C249" s="16" t="s">
        <v>1707</v>
      </c>
      <c r="D249" s="23">
        <v>2.9899999999999999E-2</v>
      </c>
    </row>
    <row r="250" spans="1:4" ht="14.1" customHeight="1">
      <c r="A250" s="14">
        <f t="shared" si="5"/>
        <v>243</v>
      </c>
      <c r="B250" s="15" t="s">
        <v>519</v>
      </c>
      <c r="C250" s="16" t="s">
        <v>1707</v>
      </c>
      <c r="D250" s="23">
        <v>3.39E-2</v>
      </c>
    </row>
    <row r="251" spans="1:4" ht="14.1" customHeight="1">
      <c r="A251" s="14">
        <f t="shared" si="5"/>
        <v>244</v>
      </c>
      <c r="B251" s="15" t="s">
        <v>520</v>
      </c>
      <c r="C251" s="16" t="s">
        <v>1707</v>
      </c>
      <c r="D251" s="23">
        <v>3.1899999999999998E-2</v>
      </c>
    </row>
    <row r="252" spans="1:4" ht="14.1" customHeight="1">
      <c r="A252" s="14">
        <f t="shared" si="5"/>
        <v>245</v>
      </c>
      <c r="B252" s="15" t="s">
        <v>521</v>
      </c>
      <c r="C252" s="16" t="s">
        <v>1707</v>
      </c>
      <c r="D252" s="23">
        <v>3.04E-2</v>
      </c>
    </row>
    <row r="253" spans="1:4" ht="14.1" customHeight="1">
      <c r="A253" s="14">
        <f t="shared" si="5"/>
        <v>246</v>
      </c>
      <c r="B253" s="15" t="s">
        <v>522</v>
      </c>
      <c r="C253" s="16" t="s">
        <v>1707</v>
      </c>
      <c r="D253" s="23">
        <v>2.92E-2</v>
      </c>
    </row>
    <row r="254" spans="1:4" ht="14.1" customHeight="1">
      <c r="A254" s="14">
        <f t="shared" si="5"/>
        <v>247</v>
      </c>
      <c r="B254" s="15" t="s">
        <v>523</v>
      </c>
      <c r="C254" s="16" t="s">
        <v>1707</v>
      </c>
      <c r="D254" s="23">
        <v>2.8299999999999999E-2</v>
      </c>
    </row>
    <row r="255" spans="1:4" ht="14.1" customHeight="1">
      <c r="A255" s="14">
        <f t="shared" si="5"/>
        <v>248</v>
      </c>
      <c r="B255" s="15" t="s">
        <v>524</v>
      </c>
      <c r="C255" s="16" t="s">
        <v>1707</v>
      </c>
      <c r="D255" s="23">
        <v>2.75E-2</v>
      </c>
    </row>
    <row r="256" spans="1:4" ht="14.1" customHeight="1">
      <c r="A256" s="14">
        <f t="shared" si="5"/>
        <v>249</v>
      </c>
      <c r="B256" s="15" t="s">
        <v>525</v>
      </c>
      <c r="C256" s="16" t="s">
        <v>1707</v>
      </c>
      <c r="D256" s="23">
        <v>2.6800000000000001E-2</v>
      </c>
    </row>
    <row r="257" spans="1:4" ht="14.1" customHeight="1">
      <c r="A257" s="14">
        <f t="shared" si="5"/>
        <v>250</v>
      </c>
      <c r="B257" s="15" t="s">
        <v>526</v>
      </c>
      <c r="C257" s="16" t="s">
        <v>1707</v>
      </c>
      <c r="D257" s="23">
        <v>2.63E-2</v>
      </c>
    </row>
    <row r="258" spans="1:4" ht="14.1" customHeight="1">
      <c r="A258" s="14">
        <f t="shared" si="5"/>
        <v>251</v>
      </c>
      <c r="B258" s="15" t="s">
        <v>527</v>
      </c>
      <c r="C258" s="16" t="s">
        <v>1707</v>
      </c>
      <c r="D258" s="23">
        <v>2.58E-2</v>
      </c>
    </row>
    <row r="259" spans="1:4" ht="14.1" customHeight="1">
      <c r="A259" s="14">
        <f t="shared" si="5"/>
        <v>252</v>
      </c>
      <c r="B259" s="15" t="s">
        <v>528</v>
      </c>
      <c r="C259" s="16" t="s">
        <v>1707</v>
      </c>
      <c r="D259" s="23">
        <v>2.5399999999999999E-2</v>
      </c>
    </row>
    <row r="260" spans="1:4" ht="14.1" customHeight="1">
      <c r="A260" s="14">
        <f t="shared" si="5"/>
        <v>253</v>
      </c>
      <c r="B260" s="15" t="s">
        <v>529</v>
      </c>
      <c r="C260" s="16" t="s">
        <v>1707</v>
      </c>
      <c r="D260" s="23">
        <v>2.5100000000000001E-2</v>
      </c>
    </row>
    <row r="261" spans="1:4" ht="14.1" customHeight="1">
      <c r="A261" s="14">
        <f t="shared" si="5"/>
        <v>254</v>
      </c>
      <c r="B261" s="15" t="s">
        <v>530</v>
      </c>
      <c r="C261" s="16" t="s">
        <v>1707</v>
      </c>
      <c r="D261" s="23">
        <v>2.47E-2</v>
      </c>
    </row>
    <row r="262" spans="1:4" ht="14.1" customHeight="1">
      <c r="A262" s="14">
        <f t="shared" si="5"/>
        <v>255</v>
      </c>
      <c r="B262" s="15" t="s">
        <v>531</v>
      </c>
      <c r="C262" s="16" t="s">
        <v>1707</v>
      </c>
      <c r="D262" s="23">
        <v>2.4500000000000001E-2</v>
      </c>
    </row>
    <row r="263" spans="1:4" ht="14.1" customHeight="1">
      <c r="A263" s="14">
        <f t="shared" si="5"/>
        <v>256</v>
      </c>
      <c r="B263" s="15" t="s">
        <v>532</v>
      </c>
      <c r="C263" s="16" t="s">
        <v>1707</v>
      </c>
      <c r="D263" s="23">
        <v>5.6099999999999997E-2</v>
      </c>
    </row>
    <row r="264" spans="1:4" ht="14.1" customHeight="1">
      <c r="A264" s="14">
        <f t="shared" si="5"/>
        <v>257</v>
      </c>
      <c r="B264" s="15" t="s">
        <v>533</v>
      </c>
      <c r="C264" s="16" t="s">
        <v>1707</v>
      </c>
      <c r="D264" s="23">
        <v>5.5E-2</v>
      </c>
    </row>
    <row r="265" spans="1:4" ht="14.1" customHeight="1">
      <c r="A265" s="14">
        <f t="shared" si="5"/>
        <v>258</v>
      </c>
      <c r="B265" s="15" t="s">
        <v>534</v>
      </c>
      <c r="C265" s="16" t="s">
        <v>1707</v>
      </c>
      <c r="D265" s="23">
        <v>5.4100000000000002E-2</v>
      </c>
    </row>
    <row r="266" spans="1:4" ht="14.1" customHeight="1">
      <c r="A266" s="14">
        <f t="shared" si="5"/>
        <v>259</v>
      </c>
      <c r="B266" s="15" t="s">
        <v>535</v>
      </c>
      <c r="C266" s="16" t="s">
        <v>1707</v>
      </c>
      <c r="D266" s="23">
        <v>5.3499999999999999E-2</v>
      </c>
    </row>
    <row r="267" spans="1:4" ht="14.1" customHeight="1">
      <c r="A267" s="14">
        <f t="shared" si="5"/>
        <v>260</v>
      </c>
      <c r="B267" s="15" t="s">
        <v>536</v>
      </c>
      <c r="C267" s="16" t="s">
        <v>1707</v>
      </c>
      <c r="D267" s="23">
        <v>5.2999999999999999E-2</v>
      </c>
    </row>
    <row r="268" spans="1:4" ht="14.1" customHeight="1">
      <c r="A268" s="14">
        <f t="shared" si="5"/>
        <v>261</v>
      </c>
      <c r="B268" s="15" t="s">
        <v>537</v>
      </c>
      <c r="C268" s="16" t="s">
        <v>1707</v>
      </c>
      <c r="D268" s="23">
        <v>5.2600000000000001E-2</v>
      </c>
    </row>
    <row r="269" spans="1:4" ht="14.1" customHeight="1">
      <c r="A269" s="14">
        <f t="shared" si="5"/>
        <v>262</v>
      </c>
      <c r="B269" s="15" t="s">
        <v>538</v>
      </c>
      <c r="C269" s="16" t="s">
        <v>1707</v>
      </c>
      <c r="D269" s="23">
        <v>5.2200000000000003E-2</v>
      </c>
    </row>
    <row r="270" spans="1:4" ht="14.1" customHeight="1">
      <c r="A270" s="14">
        <f t="shared" si="5"/>
        <v>263</v>
      </c>
      <c r="B270" s="15" t="s">
        <v>539</v>
      </c>
      <c r="C270" s="16" t="s">
        <v>1707</v>
      </c>
      <c r="D270" s="23">
        <v>5.1900000000000002E-2</v>
      </c>
    </row>
    <row r="271" spans="1:4" ht="14.1" customHeight="1">
      <c r="A271" s="14">
        <f t="shared" si="5"/>
        <v>264</v>
      </c>
      <c r="B271" s="15" t="s">
        <v>540</v>
      </c>
      <c r="C271" s="16" t="s">
        <v>1707</v>
      </c>
      <c r="D271" s="23">
        <v>5.1700000000000003E-2</v>
      </c>
    </row>
    <row r="272" spans="1:4" ht="14.1" customHeight="1">
      <c r="A272" s="14">
        <f t="shared" si="5"/>
        <v>265</v>
      </c>
      <c r="B272" s="15" t="s">
        <v>541</v>
      </c>
      <c r="C272" s="16" t="s">
        <v>1707</v>
      </c>
      <c r="D272" s="23">
        <v>5.1499999999999997E-2</v>
      </c>
    </row>
    <row r="273" spans="1:4" ht="14.1" customHeight="1">
      <c r="A273" s="14">
        <f t="shared" si="5"/>
        <v>266</v>
      </c>
      <c r="B273" s="15" t="s">
        <v>542</v>
      </c>
      <c r="C273" s="16" t="s">
        <v>1707</v>
      </c>
      <c r="D273" s="23">
        <v>5.1299999999999998E-2</v>
      </c>
    </row>
    <row r="274" spans="1:4" ht="14.1" customHeight="1">
      <c r="A274" s="14">
        <f t="shared" si="5"/>
        <v>267</v>
      </c>
      <c r="B274" s="15" t="s">
        <v>543</v>
      </c>
      <c r="C274" s="16" t="s">
        <v>1707</v>
      </c>
      <c r="D274" s="23">
        <v>5.11E-2</v>
      </c>
    </row>
    <row r="275" spans="1:4" ht="14.1" customHeight="1">
      <c r="A275" s="14">
        <f t="shared" si="5"/>
        <v>268</v>
      </c>
      <c r="B275" s="15" t="s">
        <v>544</v>
      </c>
      <c r="C275" s="16" t="s">
        <v>1707</v>
      </c>
      <c r="D275" s="23">
        <v>5.0900000000000001E-2</v>
      </c>
    </row>
    <row r="276" spans="1:4" ht="14.1" customHeight="1">
      <c r="A276" s="14">
        <f t="shared" si="5"/>
        <v>269</v>
      </c>
      <c r="B276" s="15" t="s">
        <v>545</v>
      </c>
      <c r="C276" s="16" t="s">
        <v>1707</v>
      </c>
      <c r="D276" s="23">
        <v>3.9300000000000002E-2</v>
      </c>
    </row>
    <row r="277" spans="1:4" ht="14.1" customHeight="1">
      <c r="A277" s="14">
        <f t="shared" ref="A277:A343" si="6">A276+1</f>
        <v>270</v>
      </c>
      <c r="B277" s="15" t="s">
        <v>546</v>
      </c>
      <c r="C277" s="16" t="s">
        <v>1707</v>
      </c>
      <c r="D277" s="23">
        <v>3.8199999999999998E-2</v>
      </c>
    </row>
    <row r="278" spans="1:4" ht="14.1" customHeight="1">
      <c r="A278" s="14">
        <f t="shared" si="6"/>
        <v>271</v>
      </c>
      <c r="B278" s="15" t="s">
        <v>547</v>
      </c>
      <c r="C278" s="16" t="s">
        <v>1707</v>
      </c>
      <c r="D278" s="23">
        <v>3.73E-2</v>
      </c>
    </row>
    <row r="279" spans="1:4" ht="14.1" customHeight="1">
      <c r="A279" s="14">
        <f t="shared" si="6"/>
        <v>272</v>
      </c>
      <c r="B279" s="15" t="s">
        <v>548</v>
      </c>
      <c r="C279" s="16" t="s">
        <v>1707</v>
      </c>
      <c r="D279" s="23">
        <v>3.6700000000000003E-2</v>
      </c>
    </row>
    <row r="280" spans="1:4" ht="14.1" customHeight="1">
      <c r="A280" s="14">
        <f t="shared" si="6"/>
        <v>273</v>
      </c>
      <c r="B280" s="15" t="s">
        <v>549</v>
      </c>
      <c r="C280" s="16" t="s">
        <v>1707</v>
      </c>
      <c r="D280" s="23">
        <v>3.6200000000000003E-2</v>
      </c>
    </row>
    <row r="281" spans="1:4" ht="14.1" customHeight="1">
      <c r="A281" s="14">
        <f t="shared" si="6"/>
        <v>274</v>
      </c>
      <c r="B281" s="15" t="s">
        <v>550</v>
      </c>
      <c r="C281" s="16" t="s">
        <v>1707</v>
      </c>
      <c r="D281" s="23">
        <v>3.5799999999999998E-2</v>
      </c>
    </row>
    <row r="282" spans="1:4" ht="14.1" customHeight="1">
      <c r="A282" s="14">
        <f t="shared" si="6"/>
        <v>275</v>
      </c>
      <c r="B282" s="15" t="s">
        <v>551</v>
      </c>
      <c r="C282" s="16" t="s">
        <v>1707</v>
      </c>
      <c r="D282" s="23">
        <v>3.5400000000000001E-2</v>
      </c>
    </row>
    <row r="283" spans="1:4" ht="14.1" customHeight="1">
      <c r="A283" s="14">
        <f t="shared" si="6"/>
        <v>276</v>
      </c>
      <c r="B283" s="15" t="s">
        <v>552</v>
      </c>
      <c r="C283" s="16" t="s">
        <v>1707</v>
      </c>
      <c r="D283" s="23">
        <v>3.5099999999999999E-2</v>
      </c>
    </row>
    <row r="284" spans="1:4" ht="14.1" customHeight="1">
      <c r="A284" s="14">
        <f t="shared" si="6"/>
        <v>277</v>
      </c>
      <c r="B284" s="15" t="s">
        <v>553</v>
      </c>
      <c r="C284" s="16" t="s">
        <v>1707</v>
      </c>
      <c r="D284" s="23">
        <v>3.49E-2</v>
      </c>
    </row>
    <row r="285" spans="1:4" ht="14.1" customHeight="1">
      <c r="A285" s="14">
        <f t="shared" si="6"/>
        <v>278</v>
      </c>
      <c r="B285" s="15" t="s">
        <v>554</v>
      </c>
      <c r="C285" s="16" t="s">
        <v>1707</v>
      </c>
      <c r="D285" s="23">
        <v>3.4700000000000002E-2</v>
      </c>
    </row>
    <row r="286" spans="1:4" ht="14.1" customHeight="1">
      <c r="A286" s="14">
        <f t="shared" si="6"/>
        <v>279</v>
      </c>
      <c r="B286" s="15" t="s">
        <v>555</v>
      </c>
      <c r="C286" s="16" t="s">
        <v>1707</v>
      </c>
      <c r="D286" s="23">
        <v>3.4500000000000003E-2</v>
      </c>
    </row>
    <row r="287" spans="1:4" ht="14.1" customHeight="1">
      <c r="A287" s="14">
        <f t="shared" si="6"/>
        <v>280</v>
      </c>
      <c r="B287" s="15" t="s">
        <v>556</v>
      </c>
      <c r="C287" s="16" t="s">
        <v>1707</v>
      </c>
      <c r="D287" s="23">
        <v>3.4299999999999997E-2</v>
      </c>
    </row>
    <row r="288" spans="1:4" ht="14.1" customHeight="1">
      <c r="A288" s="14">
        <f t="shared" si="6"/>
        <v>281</v>
      </c>
      <c r="B288" s="15" t="s">
        <v>557</v>
      </c>
      <c r="C288" s="16" t="s">
        <v>1707</v>
      </c>
      <c r="D288" s="23">
        <v>3.4099999999999998E-2</v>
      </c>
    </row>
    <row r="289" spans="1:4" ht="14.1" customHeight="1">
      <c r="A289" s="14">
        <f t="shared" si="6"/>
        <v>282</v>
      </c>
      <c r="B289" s="15" t="s">
        <v>558</v>
      </c>
      <c r="C289" s="16" t="s">
        <v>1707</v>
      </c>
      <c r="D289" s="23">
        <v>3.2899999999999999E-2</v>
      </c>
    </row>
    <row r="290" spans="1:4" ht="14.1" customHeight="1">
      <c r="A290" s="14">
        <f t="shared" si="6"/>
        <v>283</v>
      </c>
      <c r="B290" s="15" t="s">
        <v>559</v>
      </c>
      <c r="C290" s="16" t="s">
        <v>1707</v>
      </c>
      <c r="D290" s="23">
        <v>3.1800000000000002E-2</v>
      </c>
    </row>
    <row r="291" spans="1:4" ht="14.1" customHeight="1">
      <c r="A291" s="14">
        <f t="shared" si="6"/>
        <v>284</v>
      </c>
      <c r="B291" s="15" t="s">
        <v>560</v>
      </c>
      <c r="C291" s="16" t="s">
        <v>1707</v>
      </c>
      <c r="D291" s="23">
        <v>3.1E-2</v>
      </c>
    </row>
    <row r="292" spans="1:4" ht="14.1" customHeight="1">
      <c r="A292" s="14">
        <f t="shared" si="6"/>
        <v>285</v>
      </c>
      <c r="B292" s="15" t="s">
        <v>561</v>
      </c>
      <c r="C292" s="16" t="s">
        <v>1707</v>
      </c>
      <c r="D292" s="23">
        <v>3.0300000000000001E-2</v>
      </c>
    </row>
    <row r="293" spans="1:4" ht="14.1" customHeight="1">
      <c r="A293" s="14">
        <f t="shared" si="6"/>
        <v>286</v>
      </c>
      <c r="B293" s="15" t="s">
        <v>562</v>
      </c>
      <c r="C293" s="16" t="s">
        <v>1707</v>
      </c>
      <c r="D293" s="23">
        <v>2.98E-2</v>
      </c>
    </row>
    <row r="294" spans="1:4" ht="14.1" customHeight="1">
      <c r="A294" s="14">
        <f t="shared" si="6"/>
        <v>287</v>
      </c>
      <c r="B294" s="15" t="s">
        <v>563</v>
      </c>
      <c r="C294" s="16" t="s">
        <v>1707</v>
      </c>
      <c r="D294" s="23">
        <v>2.9399999999999999E-2</v>
      </c>
    </row>
    <row r="295" spans="1:4" ht="14.1" customHeight="1">
      <c r="A295" s="14">
        <f t="shared" si="6"/>
        <v>288</v>
      </c>
      <c r="B295" s="15" t="s">
        <v>564</v>
      </c>
      <c r="C295" s="16" t="s">
        <v>1707</v>
      </c>
      <c r="D295" s="23">
        <v>2.9100000000000001E-2</v>
      </c>
    </row>
    <row r="296" spans="1:4" ht="14.1" customHeight="1">
      <c r="A296" s="14">
        <f t="shared" si="6"/>
        <v>289</v>
      </c>
      <c r="B296" s="15" t="s">
        <v>565</v>
      </c>
      <c r="C296" s="16" t="s">
        <v>1707</v>
      </c>
      <c r="D296" s="23">
        <v>2.8799999999999999E-2</v>
      </c>
    </row>
    <row r="297" spans="1:4" ht="14.1" customHeight="1">
      <c r="A297" s="14">
        <f t="shared" si="6"/>
        <v>290</v>
      </c>
      <c r="B297" s="15" t="s">
        <v>566</v>
      </c>
      <c r="C297" s="16" t="s">
        <v>1707</v>
      </c>
      <c r="D297" s="23">
        <v>2.8500000000000001E-2</v>
      </c>
    </row>
    <row r="298" spans="1:4" ht="14.1" customHeight="1">
      <c r="A298" s="14">
        <f t="shared" si="6"/>
        <v>291</v>
      </c>
      <c r="B298" s="15" t="s">
        <v>567</v>
      </c>
      <c r="C298" s="16" t="s">
        <v>1707</v>
      </c>
      <c r="D298" s="23">
        <v>2.8299999999999999E-2</v>
      </c>
    </row>
    <row r="299" spans="1:4" ht="14.1" customHeight="1">
      <c r="A299" s="14">
        <f t="shared" si="6"/>
        <v>292</v>
      </c>
      <c r="B299" s="15" t="s">
        <v>568</v>
      </c>
      <c r="C299" s="16" t="s">
        <v>1707</v>
      </c>
      <c r="D299" s="23">
        <v>2.81E-2</v>
      </c>
    </row>
    <row r="300" spans="1:4" ht="14.1" customHeight="1">
      <c r="A300" s="14">
        <f t="shared" si="6"/>
        <v>293</v>
      </c>
      <c r="B300" s="15" t="s">
        <v>569</v>
      </c>
      <c r="C300" s="16" t="s">
        <v>1707</v>
      </c>
      <c r="D300" s="23">
        <v>2.7900000000000001E-2</v>
      </c>
    </row>
    <row r="301" spans="1:4" ht="14.1" customHeight="1">
      <c r="A301" s="14">
        <f t="shared" si="6"/>
        <v>294</v>
      </c>
      <c r="B301" s="15" t="s">
        <v>570</v>
      </c>
      <c r="C301" s="16" t="s">
        <v>1707</v>
      </c>
      <c r="D301" s="23">
        <v>2.7799999999999998E-2</v>
      </c>
    </row>
    <row r="302" spans="1:4" ht="14.1" customHeight="1">
      <c r="A302" s="14">
        <f t="shared" si="6"/>
        <v>295</v>
      </c>
      <c r="B302" s="15" t="s">
        <v>571</v>
      </c>
      <c r="C302" s="16" t="s">
        <v>1707</v>
      </c>
      <c r="D302" s="23">
        <v>2.7400000000000001E-2</v>
      </c>
    </row>
    <row r="303" spans="1:4" ht="14.1" customHeight="1">
      <c r="A303" s="14">
        <f t="shared" si="6"/>
        <v>296</v>
      </c>
      <c r="B303" s="15" t="s">
        <v>572</v>
      </c>
      <c r="C303" s="16" t="s">
        <v>1707</v>
      </c>
      <c r="D303" s="23">
        <v>2.63E-2</v>
      </c>
    </row>
    <row r="304" spans="1:4" ht="14.1" customHeight="1">
      <c r="A304" s="14">
        <f t="shared" si="6"/>
        <v>297</v>
      </c>
      <c r="B304" s="15" t="s">
        <v>573</v>
      </c>
      <c r="C304" s="16" t="s">
        <v>1707</v>
      </c>
      <c r="D304" s="23">
        <v>2.5499999999999998E-2</v>
      </c>
    </row>
    <row r="305" spans="1:4" ht="14.1" customHeight="1">
      <c r="A305" s="14">
        <f t="shared" si="6"/>
        <v>298</v>
      </c>
      <c r="B305" s="15" t="s">
        <v>574</v>
      </c>
      <c r="C305" s="16" t="s">
        <v>1707</v>
      </c>
      <c r="D305" s="23">
        <v>2.4899999999999999E-2</v>
      </c>
    </row>
    <row r="306" spans="1:4" ht="14.1" customHeight="1">
      <c r="A306" s="14">
        <f t="shared" si="6"/>
        <v>299</v>
      </c>
      <c r="B306" s="15" t="s">
        <v>575</v>
      </c>
      <c r="C306" s="16" t="s">
        <v>1707</v>
      </c>
      <c r="D306" s="23">
        <v>2.4400000000000002E-2</v>
      </c>
    </row>
    <row r="307" spans="1:4" ht="14.1" customHeight="1">
      <c r="A307" s="14">
        <f t="shared" si="6"/>
        <v>300</v>
      </c>
      <c r="B307" s="15" t="s">
        <v>576</v>
      </c>
      <c r="C307" s="16" t="s">
        <v>1707</v>
      </c>
      <c r="D307" s="23">
        <v>2.3900000000000001E-2</v>
      </c>
    </row>
    <row r="308" spans="1:4" ht="14.1" customHeight="1">
      <c r="A308" s="14">
        <f t="shared" si="6"/>
        <v>301</v>
      </c>
      <c r="B308" s="15" t="s">
        <v>577</v>
      </c>
      <c r="C308" s="16" t="s">
        <v>1707</v>
      </c>
      <c r="D308" s="23">
        <v>2.3599999999999999E-2</v>
      </c>
    </row>
    <row r="309" spans="1:4" ht="14.1" customHeight="1">
      <c r="A309" s="14">
        <f t="shared" si="6"/>
        <v>302</v>
      </c>
      <c r="B309" s="15" t="s">
        <v>578</v>
      </c>
      <c r="C309" s="16" t="s">
        <v>1707</v>
      </c>
      <c r="D309" s="23">
        <v>2.3300000000000001E-2</v>
      </c>
    </row>
    <row r="310" spans="1:4" ht="14.1" customHeight="1">
      <c r="A310" s="14">
        <f t="shared" si="6"/>
        <v>303</v>
      </c>
      <c r="B310" s="15" t="s">
        <v>579</v>
      </c>
      <c r="C310" s="16" t="s">
        <v>1707</v>
      </c>
      <c r="D310" s="23">
        <v>2.3E-2</v>
      </c>
    </row>
    <row r="311" spans="1:4" ht="14.1" customHeight="1">
      <c r="A311" s="14">
        <f t="shared" si="6"/>
        <v>304</v>
      </c>
      <c r="B311" s="15" t="s">
        <v>580</v>
      </c>
      <c r="C311" s="16" t="s">
        <v>1707</v>
      </c>
      <c r="D311" s="23">
        <v>2.2800000000000001E-2</v>
      </c>
    </row>
    <row r="312" spans="1:4" ht="14.1" customHeight="1">
      <c r="A312" s="14">
        <f t="shared" si="6"/>
        <v>305</v>
      </c>
      <c r="B312" s="15" t="s">
        <v>581</v>
      </c>
      <c r="C312" s="16" t="s">
        <v>1707</v>
      </c>
      <c r="D312" s="23">
        <v>2.2599999999999999E-2</v>
      </c>
    </row>
    <row r="313" spans="1:4" ht="14.1" customHeight="1">
      <c r="A313" s="14">
        <f t="shared" si="6"/>
        <v>306</v>
      </c>
      <c r="B313" s="15" t="s">
        <v>582</v>
      </c>
      <c r="C313" s="16" t="s">
        <v>1707</v>
      </c>
      <c r="D313" s="23">
        <v>2.2499999999999999E-2</v>
      </c>
    </row>
    <row r="314" spans="1:4" ht="14.1" customHeight="1">
      <c r="A314" s="14">
        <f t="shared" si="6"/>
        <v>307</v>
      </c>
      <c r="B314" s="15" t="s">
        <v>583</v>
      </c>
      <c r="C314" s="16" t="s">
        <v>1707</v>
      </c>
      <c r="D314" s="23">
        <v>2.23E-2</v>
      </c>
    </row>
    <row r="315" spans="1:4" ht="14.1" customHeight="1">
      <c r="A315" s="14">
        <f t="shared" si="6"/>
        <v>308</v>
      </c>
      <c r="B315" s="15" t="s">
        <v>584</v>
      </c>
      <c r="C315" s="16" t="s">
        <v>1684</v>
      </c>
      <c r="D315" s="23">
        <v>4.9000000000000002E-2</v>
      </c>
    </row>
    <row r="316" spans="1:4" ht="14.1" customHeight="1">
      <c r="A316" s="14">
        <f t="shared" si="6"/>
        <v>309</v>
      </c>
      <c r="B316" s="15" t="s">
        <v>585</v>
      </c>
      <c r="C316" s="16" t="s">
        <v>1684</v>
      </c>
      <c r="D316" s="23">
        <v>4.8000000000000001E-2</v>
      </c>
    </row>
    <row r="317" spans="1:4" ht="14.1" customHeight="1">
      <c r="A317" s="14">
        <f t="shared" si="6"/>
        <v>310</v>
      </c>
      <c r="B317" s="15" t="s">
        <v>586</v>
      </c>
      <c r="C317" s="16" t="s">
        <v>1684</v>
      </c>
      <c r="D317" s="23">
        <v>3.4000000000000002E-2</v>
      </c>
    </row>
    <row r="318" spans="1:4" ht="14.1" customHeight="1">
      <c r="A318" s="14">
        <f t="shared" si="6"/>
        <v>311</v>
      </c>
      <c r="B318" s="15" t="s">
        <v>587</v>
      </c>
      <c r="C318" s="16" t="s">
        <v>1684</v>
      </c>
      <c r="D318" s="23">
        <v>3.3000000000000002E-2</v>
      </c>
    </row>
    <row r="319" spans="1:4" ht="14.1" customHeight="1">
      <c r="A319" s="14">
        <f t="shared" si="6"/>
        <v>312</v>
      </c>
      <c r="B319" s="15" t="s">
        <v>588</v>
      </c>
      <c r="C319" s="16" t="s">
        <v>1684</v>
      </c>
      <c r="D319" s="23">
        <v>2.7E-2</v>
      </c>
    </row>
    <row r="320" spans="1:4" ht="14.1" customHeight="1">
      <c r="A320" s="14">
        <f t="shared" si="6"/>
        <v>313</v>
      </c>
      <c r="B320" s="15" t="s">
        <v>589</v>
      </c>
      <c r="C320" s="16" t="s">
        <v>1684</v>
      </c>
      <c r="D320" s="23">
        <v>2.7E-2</v>
      </c>
    </row>
    <row r="321" spans="1:4" ht="14.1" customHeight="1">
      <c r="A321" s="14">
        <f t="shared" si="6"/>
        <v>314</v>
      </c>
      <c r="B321" s="15" t="s">
        <v>2980</v>
      </c>
      <c r="D321" s="23">
        <v>0.02</v>
      </c>
    </row>
    <row r="322" spans="1:4" ht="14.1" customHeight="1">
      <c r="A322" s="14">
        <f t="shared" si="6"/>
        <v>315</v>
      </c>
      <c r="B322" s="15" t="s">
        <v>2981</v>
      </c>
      <c r="D322" s="23">
        <v>1.7000000000000001E-2</v>
      </c>
    </row>
    <row r="323" spans="1:4" ht="14.1" customHeight="1">
      <c r="A323" s="14">
        <f t="shared" si="6"/>
        <v>316</v>
      </c>
      <c r="B323" s="15" t="s">
        <v>590</v>
      </c>
      <c r="C323" s="16" t="s">
        <v>1684</v>
      </c>
      <c r="D323" s="23">
        <v>3.4000000000000002E-2</v>
      </c>
    </row>
    <row r="324" spans="1:4" ht="14.1" customHeight="1">
      <c r="A324" s="14">
        <f t="shared" si="6"/>
        <v>317</v>
      </c>
      <c r="B324" s="15" t="s">
        <v>591</v>
      </c>
      <c r="C324" s="16" t="s">
        <v>1684</v>
      </c>
      <c r="D324" s="23">
        <v>3.3000000000000002E-2</v>
      </c>
    </row>
    <row r="325" spans="1:4" ht="14.1" customHeight="1">
      <c r="A325" s="14">
        <f t="shared" si="6"/>
        <v>318</v>
      </c>
      <c r="B325" s="15" t="s">
        <v>592</v>
      </c>
      <c r="C325" s="16" t="s">
        <v>1684</v>
      </c>
      <c r="D325" s="23">
        <v>2.9000000000000001E-2</v>
      </c>
    </row>
    <row r="326" spans="1:4" ht="14.1" customHeight="1">
      <c r="A326" s="14">
        <f t="shared" si="6"/>
        <v>319</v>
      </c>
      <c r="B326" s="15" t="s">
        <v>593</v>
      </c>
      <c r="C326" s="16" t="s">
        <v>1684</v>
      </c>
      <c r="D326" s="23">
        <v>2.7E-2</v>
      </c>
    </row>
    <row r="327" spans="1:4" ht="14.1" customHeight="1">
      <c r="A327" s="14">
        <f t="shared" si="6"/>
        <v>320</v>
      </c>
      <c r="B327" s="15" t="s">
        <v>594</v>
      </c>
      <c r="C327" s="16" t="s">
        <v>1684</v>
      </c>
      <c r="D327" s="23">
        <v>2.5999999999999999E-2</v>
      </c>
    </row>
    <row r="328" spans="1:4" ht="14.1" customHeight="1">
      <c r="A328" s="14">
        <f t="shared" si="6"/>
        <v>321</v>
      </c>
      <c r="B328" s="15" t="s">
        <v>595</v>
      </c>
      <c r="C328" s="16" t="s">
        <v>1684</v>
      </c>
      <c r="D328" s="23">
        <v>2.5000000000000001E-2</v>
      </c>
    </row>
    <row r="329" spans="1:4" ht="14.1" customHeight="1">
      <c r="A329" s="14">
        <f t="shared" si="6"/>
        <v>322</v>
      </c>
      <c r="B329" s="15" t="s">
        <v>596</v>
      </c>
      <c r="C329" s="16" t="s">
        <v>1684</v>
      </c>
      <c r="D329" s="23">
        <v>6.4000000000000001E-2</v>
      </c>
    </row>
    <row r="330" spans="1:4" ht="14.1" customHeight="1">
      <c r="A330" s="14">
        <f t="shared" si="6"/>
        <v>323</v>
      </c>
      <c r="B330" s="15" t="s">
        <v>597</v>
      </c>
      <c r="C330" s="16" t="s">
        <v>1684</v>
      </c>
      <c r="D330" s="23">
        <v>0.04</v>
      </c>
    </row>
    <row r="331" spans="1:4" ht="14.1" customHeight="1">
      <c r="A331" s="14">
        <f t="shared" si="6"/>
        <v>324</v>
      </c>
      <c r="B331" s="15" t="s">
        <v>598</v>
      </c>
      <c r="C331" s="16" t="s">
        <v>1684</v>
      </c>
      <c r="D331" s="23">
        <v>2.5000000000000001E-2</v>
      </c>
    </row>
    <row r="332" spans="1:4" ht="14.1" customHeight="1">
      <c r="A332" s="14">
        <f t="shared" si="6"/>
        <v>325</v>
      </c>
      <c r="B332" s="15" t="s">
        <v>599</v>
      </c>
      <c r="C332" s="16" t="s">
        <v>1684</v>
      </c>
      <c r="D332" s="23">
        <v>1.9E-2</v>
      </c>
    </row>
    <row r="333" spans="1:4" ht="14.1" customHeight="1">
      <c r="A333" s="14">
        <f t="shared" si="6"/>
        <v>326</v>
      </c>
      <c r="B333" s="15" t="s">
        <v>600</v>
      </c>
      <c r="C333" s="16" t="s">
        <v>1577</v>
      </c>
      <c r="D333" s="23">
        <v>3.5999999999999997E-2</v>
      </c>
    </row>
    <row r="334" spans="1:4" ht="14.1" customHeight="1">
      <c r="A334" s="14">
        <f t="shared" si="6"/>
        <v>327</v>
      </c>
      <c r="B334" s="15" t="s">
        <v>601</v>
      </c>
      <c r="C334" s="16" t="s">
        <v>1577</v>
      </c>
      <c r="D334" s="23">
        <v>3.3000000000000002E-2</v>
      </c>
    </row>
    <row r="335" spans="1:4" ht="14.1" customHeight="1">
      <c r="A335" s="14">
        <f t="shared" si="6"/>
        <v>328</v>
      </c>
      <c r="B335" s="15" t="s">
        <v>602</v>
      </c>
      <c r="C335" s="16" t="s">
        <v>1577</v>
      </c>
      <c r="D335" s="23">
        <v>3.1E-2</v>
      </c>
    </row>
    <row r="336" spans="1:4" ht="14.1" customHeight="1">
      <c r="A336" s="14">
        <f t="shared" si="6"/>
        <v>329</v>
      </c>
      <c r="B336" s="15" t="s">
        <v>603</v>
      </c>
      <c r="C336" s="16" t="s">
        <v>1577</v>
      </c>
      <c r="D336" s="23">
        <v>2.7E-2</v>
      </c>
    </row>
    <row r="337" spans="1:6" ht="14.1" customHeight="1">
      <c r="A337" s="14">
        <f t="shared" si="6"/>
        <v>330</v>
      </c>
      <c r="B337" s="15" t="s">
        <v>604</v>
      </c>
      <c r="C337" s="16" t="s">
        <v>1577</v>
      </c>
      <c r="D337" s="23">
        <v>2.5000000000000001E-2</v>
      </c>
    </row>
    <row r="338" spans="1:6" ht="14.1" customHeight="1">
      <c r="A338" s="14">
        <f t="shared" si="6"/>
        <v>331</v>
      </c>
      <c r="B338" s="15" t="s">
        <v>605</v>
      </c>
      <c r="C338" s="16" t="s">
        <v>1577</v>
      </c>
      <c r="D338" s="23">
        <v>2.1999999999999999E-2</v>
      </c>
    </row>
    <row r="339" spans="1:6" ht="48" customHeight="1">
      <c r="A339" s="14">
        <f t="shared" si="6"/>
        <v>332</v>
      </c>
      <c r="B339" s="1054" t="s">
        <v>3205</v>
      </c>
      <c r="D339" s="440" t="s">
        <v>2463</v>
      </c>
      <c r="E339" s="440" t="s">
        <v>2353</v>
      </c>
      <c r="F339" s="1056" t="s">
        <v>3206</v>
      </c>
    </row>
    <row r="340" spans="1:6" ht="14.1" customHeight="1">
      <c r="A340" s="14">
        <f t="shared" si="6"/>
        <v>333</v>
      </c>
      <c r="B340" s="39" t="s">
        <v>2824</v>
      </c>
      <c r="C340" s="16" t="s">
        <v>1679</v>
      </c>
      <c r="D340" s="78">
        <f>1/40</f>
        <v>2.5000000000000001E-2</v>
      </c>
      <c r="E340" s="78"/>
      <c r="F340" s="203" t="str">
        <f t="shared" ref="F340:F379" si="7">IF(AND(B341&lt;&gt;"",B340=""),"Don't skip lines",IF(AND(D340="",B340&lt;&gt;""),"Enter U-value",IF(AND(D340&lt;&gt;"",B340=""),"Enter Description","")))</f>
        <v/>
      </c>
    </row>
    <row r="341" spans="1:6" ht="14.1" customHeight="1">
      <c r="A341" s="14">
        <f t="shared" si="6"/>
        <v>334</v>
      </c>
      <c r="B341" s="39" t="s">
        <v>2836</v>
      </c>
      <c r="C341" s="16" t="s">
        <v>1679</v>
      </c>
      <c r="D341" s="78">
        <v>2.0400000000000001E-2</v>
      </c>
      <c r="E341" s="78"/>
      <c r="F341" s="203" t="str">
        <f t="shared" si="7"/>
        <v/>
      </c>
    </row>
    <row r="342" spans="1:6" ht="14.1" customHeight="1">
      <c r="A342" s="14">
        <f t="shared" si="6"/>
        <v>335</v>
      </c>
      <c r="B342" s="18"/>
      <c r="C342" s="16" t="s">
        <v>1679</v>
      </c>
      <c r="D342" s="24"/>
      <c r="E342" s="24"/>
      <c r="F342" s="203" t="str">
        <f t="shared" si="7"/>
        <v/>
      </c>
    </row>
    <row r="343" spans="1:6" ht="14.1" customHeight="1">
      <c r="A343" s="14">
        <f t="shared" si="6"/>
        <v>336</v>
      </c>
      <c r="B343" s="18"/>
      <c r="C343" s="16" t="s">
        <v>1679</v>
      </c>
      <c r="D343" s="24"/>
      <c r="E343" s="24"/>
      <c r="F343" s="203" t="str">
        <f t="shared" si="7"/>
        <v/>
      </c>
    </row>
    <row r="344" spans="1:6" ht="14.1" customHeight="1">
      <c r="A344" s="14">
        <f t="shared" ref="A344:A379" si="8">A343+1</f>
        <v>337</v>
      </c>
      <c r="B344" s="18"/>
      <c r="C344" s="16" t="s">
        <v>1679</v>
      </c>
      <c r="D344" s="24"/>
      <c r="E344" s="24"/>
      <c r="F344" s="203" t="str">
        <f t="shared" si="7"/>
        <v/>
      </c>
    </row>
    <row r="345" spans="1:6" ht="14.1" customHeight="1">
      <c r="A345" s="14">
        <f t="shared" si="8"/>
        <v>338</v>
      </c>
      <c r="B345" s="18"/>
      <c r="C345" s="16" t="s">
        <v>1679</v>
      </c>
      <c r="D345" s="24"/>
      <c r="E345" s="24"/>
      <c r="F345" s="203" t="str">
        <f t="shared" si="7"/>
        <v/>
      </c>
    </row>
    <row r="346" spans="1:6" ht="14.1" customHeight="1">
      <c r="A346" s="14">
        <f t="shared" si="8"/>
        <v>339</v>
      </c>
      <c r="B346" s="18"/>
      <c r="C346" s="16" t="s">
        <v>1679</v>
      </c>
      <c r="D346" s="24"/>
      <c r="E346" s="24"/>
      <c r="F346" s="203" t="str">
        <f t="shared" si="7"/>
        <v/>
      </c>
    </row>
    <row r="347" spans="1:6" ht="14.1" customHeight="1">
      <c r="A347" s="14">
        <f t="shared" si="8"/>
        <v>340</v>
      </c>
      <c r="B347" s="18"/>
      <c r="C347" s="16" t="s">
        <v>1679</v>
      </c>
      <c r="D347" s="24"/>
      <c r="E347" s="24"/>
      <c r="F347" s="203" t="str">
        <f t="shared" si="7"/>
        <v/>
      </c>
    </row>
    <row r="348" spans="1:6" ht="14.1" customHeight="1">
      <c r="A348" s="14">
        <f t="shared" si="8"/>
        <v>341</v>
      </c>
      <c r="B348" s="18"/>
      <c r="C348" s="16" t="s">
        <v>1679</v>
      </c>
      <c r="D348" s="24"/>
      <c r="E348" s="24"/>
      <c r="F348" s="203" t="str">
        <f t="shared" si="7"/>
        <v/>
      </c>
    </row>
    <row r="349" spans="1:6" ht="14.1" customHeight="1">
      <c r="A349" s="14">
        <f t="shared" si="8"/>
        <v>342</v>
      </c>
      <c r="B349" s="18"/>
      <c r="C349" s="16" t="s">
        <v>1679</v>
      </c>
      <c r="D349" s="24"/>
      <c r="E349" s="24"/>
      <c r="F349" s="203" t="str">
        <f t="shared" si="7"/>
        <v/>
      </c>
    </row>
    <row r="350" spans="1:6" ht="14.1" customHeight="1">
      <c r="A350" s="14">
        <f t="shared" si="8"/>
        <v>343</v>
      </c>
      <c r="B350" s="18"/>
      <c r="C350" s="16" t="s">
        <v>1679</v>
      </c>
      <c r="D350" s="24"/>
      <c r="E350" s="24"/>
      <c r="F350" s="203" t="str">
        <f t="shared" si="7"/>
        <v/>
      </c>
    </row>
    <row r="351" spans="1:6" ht="14.1" customHeight="1">
      <c r="A351" s="14">
        <f t="shared" si="8"/>
        <v>344</v>
      </c>
      <c r="B351" s="18"/>
      <c r="C351" s="16" t="s">
        <v>1679</v>
      </c>
      <c r="D351" s="24"/>
      <c r="E351" s="24"/>
      <c r="F351" s="203" t="str">
        <f t="shared" si="7"/>
        <v/>
      </c>
    </row>
    <row r="352" spans="1:6" ht="14.1" customHeight="1">
      <c r="A352" s="14">
        <f t="shared" si="8"/>
        <v>345</v>
      </c>
      <c r="B352" s="18"/>
      <c r="C352" s="16" t="s">
        <v>1679</v>
      </c>
      <c r="D352" s="24"/>
      <c r="E352" s="24"/>
      <c r="F352" s="203" t="str">
        <f t="shared" si="7"/>
        <v/>
      </c>
    </row>
    <row r="353" spans="1:6" ht="14.1" customHeight="1">
      <c r="A353" s="14">
        <f t="shared" si="8"/>
        <v>346</v>
      </c>
      <c r="B353" s="18"/>
      <c r="C353" s="16" t="s">
        <v>1679</v>
      </c>
      <c r="D353" s="24"/>
      <c r="E353" s="24"/>
      <c r="F353" s="203" t="str">
        <f t="shared" si="7"/>
        <v/>
      </c>
    </row>
    <row r="354" spans="1:6" ht="14.1" customHeight="1">
      <c r="A354" s="14">
        <f t="shared" si="8"/>
        <v>347</v>
      </c>
      <c r="B354" s="18"/>
      <c r="C354" s="16" t="s">
        <v>1679</v>
      </c>
      <c r="D354" s="24"/>
      <c r="E354" s="24"/>
      <c r="F354" s="203" t="str">
        <f t="shared" si="7"/>
        <v/>
      </c>
    </row>
    <row r="355" spans="1:6" ht="14.1" customHeight="1">
      <c r="A355" s="14">
        <f t="shared" si="8"/>
        <v>348</v>
      </c>
      <c r="B355" s="18"/>
      <c r="C355" s="16" t="s">
        <v>1679</v>
      </c>
      <c r="D355" s="24"/>
      <c r="E355" s="24"/>
      <c r="F355" s="203" t="str">
        <f t="shared" si="7"/>
        <v/>
      </c>
    </row>
    <row r="356" spans="1:6" ht="14.1" customHeight="1">
      <c r="A356" s="14">
        <f t="shared" si="8"/>
        <v>349</v>
      </c>
      <c r="B356" s="18"/>
      <c r="C356" s="16" t="s">
        <v>1679</v>
      </c>
      <c r="D356" s="24"/>
      <c r="E356" s="24"/>
      <c r="F356" s="203" t="str">
        <f t="shared" si="7"/>
        <v/>
      </c>
    </row>
    <row r="357" spans="1:6" ht="14.1" customHeight="1">
      <c r="A357" s="14">
        <f t="shared" si="8"/>
        <v>350</v>
      </c>
      <c r="B357" s="18"/>
      <c r="C357" s="16" t="s">
        <v>1679</v>
      </c>
      <c r="D357" s="24"/>
      <c r="E357" s="24"/>
      <c r="F357" s="203" t="str">
        <f t="shared" si="7"/>
        <v/>
      </c>
    </row>
    <row r="358" spans="1:6" ht="14.1" customHeight="1">
      <c r="A358" s="14">
        <f t="shared" si="8"/>
        <v>351</v>
      </c>
      <c r="B358" s="18"/>
      <c r="C358" s="16" t="s">
        <v>1679</v>
      </c>
      <c r="D358" s="24"/>
      <c r="E358" s="24"/>
      <c r="F358" s="203" t="str">
        <f t="shared" si="7"/>
        <v/>
      </c>
    </row>
    <row r="359" spans="1:6" ht="14.1" customHeight="1">
      <c r="A359" s="14">
        <f t="shared" si="8"/>
        <v>352</v>
      </c>
      <c r="B359" s="18"/>
      <c r="C359" s="16" t="s">
        <v>1679</v>
      </c>
      <c r="D359" s="24"/>
      <c r="E359" s="24"/>
      <c r="F359" s="203" t="str">
        <f t="shared" si="7"/>
        <v/>
      </c>
    </row>
    <row r="360" spans="1:6" ht="14.1" customHeight="1">
      <c r="A360" s="14">
        <f t="shared" si="8"/>
        <v>353</v>
      </c>
      <c r="B360" s="18"/>
      <c r="C360" s="16" t="s">
        <v>1679</v>
      </c>
      <c r="D360" s="24"/>
      <c r="E360" s="24"/>
      <c r="F360" s="203" t="str">
        <f t="shared" si="7"/>
        <v/>
      </c>
    </row>
    <row r="361" spans="1:6" ht="14.1" customHeight="1">
      <c r="A361" s="14">
        <f t="shared" si="8"/>
        <v>354</v>
      </c>
      <c r="B361" s="18"/>
      <c r="C361" s="16" t="s">
        <v>1679</v>
      </c>
      <c r="D361" s="24"/>
      <c r="E361" s="24"/>
      <c r="F361" s="203" t="str">
        <f t="shared" si="7"/>
        <v/>
      </c>
    </row>
    <row r="362" spans="1:6" ht="14.1" customHeight="1">
      <c r="A362" s="14">
        <f t="shared" si="8"/>
        <v>355</v>
      </c>
      <c r="B362" s="18"/>
      <c r="C362" s="16" t="s">
        <v>1679</v>
      </c>
      <c r="D362" s="24"/>
      <c r="E362" s="24"/>
      <c r="F362" s="203" t="str">
        <f t="shared" si="7"/>
        <v/>
      </c>
    </row>
    <row r="363" spans="1:6" ht="14.1" customHeight="1">
      <c r="A363" s="14">
        <f t="shared" si="8"/>
        <v>356</v>
      </c>
      <c r="B363" s="18"/>
      <c r="C363" s="16" t="s">
        <v>1679</v>
      </c>
      <c r="D363" s="24"/>
      <c r="E363" s="24"/>
      <c r="F363" s="203" t="str">
        <f t="shared" si="7"/>
        <v/>
      </c>
    </row>
    <row r="364" spans="1:6" ht="14.1" customHeight="1">
      <c r="A364" s="14">
        <f t="shared" si="8"/>
        <v>357</v>
      </c>
      <c r="B364" s="18"/>
      <c r="C364" s="16" t="s">
        <v>1679</v>
      </c>
      <c r="D364" s="24"/>
      <c r="E364" s="24"/>
      <c r="F364" s="203" t="str">
        <f t="shared" si="7"/>
        <v/>
      </c>
    </row>
    <row r="365" spans="1:6" ht="14.1" customHeight="1">
      <c r="A365" s="14">
        <f t="shared" si="8"/>
        <v>358</v>
      </c>
      <c r="B365" s="18"/>
      <c r="C365" s="16" t="s">
        <v>1679</v>
      </c>
      <c r="D365" s="24"/>
      <c r="E365" s="24"/>
      <c r="F365" s="203" t="str">
        <f t="shared" si="7"/>
        <v/>
      </c>
    </row>
    <row r="366" spans="1:6" ht="14.1" customHeight="1">
      <c r="A366" s="14">
        <f t="shared" si="8"/>
        <v>359</v>
      </c>
      <c r="B366" s="18"/>
      <c r="C366" s="16" t="s">
        <v>1679</v>
      </c>
      <c r="D366" s="24"/>
      <c r="E366" s="24"/>
      <c r="F366" s="203" t="str">
        <f t="shared" si="7"/>
        <v/>
      </c>
    </row>
    <row r="367" spans="1:6" ht="14.1" customHeight="1">
      <c r="A367" s="14">
        <f t="shared" si="8"/>
        <v>360</v>
      </c>
      <c r="B367" s="18"/>
      <c r="C367" s="16" t="s">
        <v>1679</v>
      </c>
      <c r="D367" s="24"/>
      <c r="E367" s="24"/>
      <c r="F367" s="203" t="str">
        <f t="shared" si="7"/>
        <v/>
      </c>
    </row>
    <row r="368" spans="1:6" ht="14.1" customHeight="1">
      <c r="A368" s="14">
        <f t="shared" si="8"/>
        <v>361</v>
      </c>
      <c r="B368" s="18"/>
      <c r="C368" s="16" t="s">
        <v>1679</v>
      </c>
      <c r="D368" s="24"/>
      <c r="E368" s="24"/>
      <c r="F368" s="203" t="str">
        <f t="shared" si="7"/>
        <v/>
      </c>
    </row>
    <row r="369" spans="1:6" ht="14.1" customHeight="1">
      <c r="A369" s="14">
        <f t="shared" si="8"/>
        <v>362</v>
      </c>
      <c r="B369" s="18"/>
      <c r="C369" s="16" t="s">
        <v>1679</v>
      </c>
      <c r="D369" s="24"/>
      <c r="E369" s="24"/>
      <c r="F369" s="203" t="str">
        <f t="shared" si="7"/>
        <v/>
      </c>
    </row>
    <row r="370" spans="1:6" ht="14.1" customHeight="1">
      <c r="A370" s="14">
        <f t="shared" si="8"/>
        <v>363</v>
      </c>
      <c r="B370" s="18"/>
      <c r="C370" s="16" t="s">
        <v>1679</v>
      </c>
      <c r="D370" s="24"/>
      <c r="E370" s="24"/>
      <c r="F370" s="203" t="str">
        <f t="shared" si="7"/>
        <v/>
      </c>
    </row>
    <row r="371" spans="1:6" ht="14.1" customHeight="1">
      <c r="A371" s="14">
        <f t="shared" si="8"/>
        <v>364</v>
      </c>
      <c r="B371" s="18"/>
      <c r="C371" s="16" t="s">
        <v>1679</v>
      </c>
      <c r="D371" s="24"/>
      <c r="E371" s="24"/>
      <c r="F371" s="203" t="str">
        <f t="shared" si="7"/>
        <v/>
      </c>
    </row>
    <row r="372" spans="1:6" ht="14.1" customHeight="1">
      <c r="A372" s="14">
        <f t="shared" si="8"/>
        <v>365</v>
      </c>
      <c r="B372" s="18"/>
      <c r="C372" s="16" t="s">
        <v>1679</v>
      </c>
      <c r="D372" s="24"/>
      <c r="E372" s="24"/>
      <c r="F372" s="203" t="str">
        <f t="shared" si="7"/>
        <v/>
      </c>
    </row>
    <row r="373" spans="1:6" ht="14.1" customHeight="1">
      <c r="A373" s="14">
        <f t="shared" si="8"/>
        <v>366</v>
      </c>
      <c r="B373" s="18"/>
      <c r="C373" s="16" t="s">
        <v>1679</v>
      </c>
      <c r="D373" s="24"/>
      <c r="E373" s="24"/>
      <c r="F373" s="203" t="str">
        <f t="shared" si="7"/>
        <v/>
      </c>
    </row>
    <row r="374" spans="1:6" ht="14.1" customHeight="1">
      <c r="A374" s="14">
        <f t="shared" si="8"/>
        <v>367</v>
      </c>
      <c r="B374" s="18"/>
      <c r="C374" s="16" t="s">
        <v>1679</v>
      </c>
      <c r="D374" s="24"/>
      <c r="E374" s="24"/>
      <c r="F374" s="203" t="str">
        <f t="shared" si="7"/>
        <v/>
      </c>
    </row>
    <row r="375" spans="1:6" ht="14.1" customHeight="1">
      <c r="A375" s="14">
        <f t="shared" si="8"/>
        <v>368</v>
      </c>
      <c r="B375" s="18"/>
      <c r="C375" s="16" t="s">
        <v>1679</v>
      </c>
      <c r="D375" s="24"/>
      <c r="E375" s="24"/>
      <c r="F375" s="203" t="str">
        <f t="shared" si="7"/>
        <v/>
      </c>
    </row>
    <row r="376" spans="1:6" ht="14.1" customHeight="1">
      <c r="A376" s="14">
        <f t="shared" si="8"/>
        <v>369</v>
      </c>
      <c r="B376" s="18"/>
      <c r="C376" s="16" t="s">
        <v>1679</v>
      </c>
      <c r="D376" s="24"/>
      <c r="E376" s="24"/>
      <c r="F376" s="203" t="str">
        <f t="shared" si="7"/>
        <v/>
      </c>
    </row>
    <row r="377" spans="1:6" ht="14.1" customHeight="1">
      <c r="A377" s="14">
        <f t="shared" si="8"/>
        <v>370</v>
      </c>
      <c r="B377" s="18"/>
      <c r="C377" s="16" t="s">
        <v>1679</v>
      </c>
      <c r="D377" s="24"/>
      <c r="E377" s="24"/>
      <c r="F377" s="203" t="str">
        <f t="shared" si="7"/>
        <v/>
      </c>
    </row>
    <row r="378" spans="1:6" ht="14.1" customHeight="1">
      <c r="A378" s="14">
        <f t="shared" si="8"/>
        <v>371</v>
      </c>
      <c r="B378" s="18"/>
      <c r="C378" s="16" t="s">
        <v>1679</v>
      </c>
      <c r="D378" s="24"/>
      <c r="E378" s="24"/>
      <c r="F378" s="203" t="str">
        <f t="shared" si="7"/>
        <v/>
      </c>
    </row>
    <row r="379" spans="1:6" ht="14.1" customHeight="1">
      <c r="A379" s="14">
        <f t="shared" si="8"/>
        <v>372</v>
      </c>
      <c r="B379" s="18"/>
      <c r="C379" s="16" t="s">
        <v>1679</v>
      </c>
      <c r="D379" s="24"/>
      <c r="E379" s="24"/>
      <c r="F379" s="203" t="str">
        <f t="shared" si="7"/>
        <v/>
      </c>
    </row>
  </sheetData>
  <sheetProtection algorithmName="SHA-512" hashValue="WjQiWtnxQxJjyM9aeX4IqQq41cUx/xcm8O5ELRL+vN/P3OOrHhl11TFx1ZYkIQS3T518CwjfahyQCRssF9vFJg==" saltValue="RKLHEKVeQC0Rzw5dhKy+Ig==" spinCount="100000" sheet="1" objects="1" scenarios="1" insertHyperlinks="0" selectLockedCells="1" pivotTables="0"/>
  <customSheetViews>
    <customSheetView guid="{3A20BFFC-9D9E-415D-AC5D-1CC81DA9B04C}">
      <pane ySplit="1" topLeftCell="A2" activePane="bottomLeft" state="frozen"/>
      <selection pane="bottomLeft" activeCell="A2" sqref="A2"/>
      <pageMargins left="0.75" right="0.75" top="1" bottom="1" header="0.5" footer="0.5"/>
      <pageSetup orientation="portrait" r:id="rId1"/>
      <headerFooter alignWithMargins="0"/>
    </customSheetView>
  </customSheetViews>
  <phoneticPr fontId="0" type="noConversion"/>
  <conditionalFormatting sqref="D31:D338 D7:D15">
    <cfRule type="cellIs" dxfId="29" priority="13" operator="lessThanOrEqual">
      <formula>0.027</formula>
    </cfRule>
  </conditionalFormatting>
  <conditionalFormatting sqref="D7:D8">
    <cfRule type="cellIs" dxfId="28" priority="7" operator="lessThanOrEqual">
      <formula>0.027</formula>
    </cfRule>
  </conditionalFormatting>
  <conditionalFormatting sqref="D9">
    <cfRule type="cellIs" dxfId="27" priority="6" operator="lessThanOrEqual">
      <formula>0.027</formula>
    </cfRule>
  </conditionalFormatting>
  <conditionalFormatting sqref="D10">
    <cfRule type="cellIs" dxfId="26" priority="5" operator="lessThanOrEqual">
      <formula>0.027</formula>
    </cfRule>
  </conditionalFormatting>
  <conditionalFormatting sqref="D16:D29">
    <cfRule type="cellIs" dxfId="25" priority="2" operator="lessThanOrEqual">
      <formula>0.027</formula>
    </cfRule>
  </conditionalFormatting>
  <conditionalFormatting sqref="D16:D29">
    <cfRule type="cellIs" dxfId="24" priority="1" operator="lessThanOrEqual">
      <formula>0.027</formula>
    </cfRule>
  </conditionalFormatting>
  <hyperlinks>
    <hyperlink ref="F1" location="'Terms of Use'!A1" display="(C) 2017" xr:uid="{00000000-0004-0000-09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Go_to_TopOfCeilingInput">
                <anchor moveWithCells="1">
                  <from>
                    <xdr:col>2</xdr:col>
                    <xdr:colOff>819150</xdr:colOff>
                    <xdr:row>338</xdr:row>
                    <xdr:rowOff>104775</xdr:rowOff>
                  </from>
                  <to>
                    <xdr:col>4</xdr:col>
                    <xdr:colOff>552450</xdr:colOff>
                    <xdr:row>338</xdr:row>
                    <xdr:rowOff>390525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boveGradeWalls">
    <tabColor theme="0"/>
  </sheetPr>
  <dimension ref="A1:X989"/>
  <sheetViews>
    <sheetView zoomScaleNormal="100" workbookViewId="0">
      <pane ySplit="3" topLeftCell="A4" activePane="bottomLeft" state="frozen"/>
      <selection activeCell="D18" sqref="D18"/>
      <selection pane="bottomLeft" activeCell="B935" sqref="B935"/>
    </sheetView>
  </sheetViews>
  <sheetFormatPr defaultColWidth="8.7109375" defaultRowHeight="14.1" customHeight="1"/>
  <cols>
    <col min="1" max="1" width="8.7109375" style="14" customWidth="1"/>
    <col min="2" max="2" width="55.85546875" style="15" customWidth="1"/>
    <col min="3" max="3" width="15.28515625" style="16" customWidth="1"/>
    <col min="4" max="4" width="8.7109375" style="16" customWidth="1"/>
    <col min="5" max="5" width="20.42578125" style="16" customWidth="1"/>
    <col min="6" max="6" width="8.7109375" style="17" customWidth="1"/>
    <col min="7" max="16384" width="8.7109375" style="15"/>
  </cols>
  <sheetData>
    <row r="1" spans="1:24" ht="20.25"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row>
    <row r="2" spans="1:24" ht="21" customHeight="1">
      <c r="A2" s="549" t="s">
        <v>2464</v>
      </c>
      <c r="B2" s="550"/>
      <c r="C2" s="551"/>
      <c r="D2" s="552"/>
      <c r="E2" s="552"/>
      <c r="F2" s="550"/>
      <c r="G2" s="550"/>
      <c r="H2" s="550"/>
      <c r="I2" s="550"/>
      <c r="J2" s="553"/>
      <c r="K2" s="550"/>
      <c r="L2" s="550"/>
      <c r="M2" s="550"/>
      <c r="N2" s="550"/>
      <c r="O2" s="550"/>
      <c r="P2" s="550"/>
      <c r="Q2" s="550"/>
      <c r="R2" s="550"/>
      <c r="S2" s="550"/>
      <c r="T2" s="550"/>
      <c r="U2" s="550"/>
      <c r="V2" s="550"/>
      <c r="W2" s="550"/>
      <c r="X2" s="550"/>
    </row>
    <row r="3" spans="1:24" ht="14.1" customHeight="1">
      <c r="A3" s="14" t="s">
        <v>1400</v>
      </c>
      <c r="B3" s="15" t="s">
        <v>1401</v>
      </c>
      <c r="C3" s="16" t="s">
        <v>1402</v>
      </c>
      <c r="D3" s="17" t="s">
        <v>606</v>
      </c>
      <c r="E3" s="17"/>
    </row>
    <row r="5" spans="1:24" ht="14.1" customHeight="1">
      <c r="A5" s="14">
        <v>1</v>
      </c>
    </row>
    <row r="6" spans="1:24" ht="14.1" customHeight="1">
      <c r="A6" s="14">
        <f>A5+1</f>
        <v>2</v>
      </c>
      <c r="B6" s="101" t="s">
        <v>2063</v>
      </c>
    </row>
    <row r="7" spans="1:24" ht="14.1" customHeight="1">
      <c r="A7" s="14">
        <f t="shared" ref="A7:A17" si="0">A6+1</f>
        <v>3</v>
      </c>
      <c r="B7" s="15" t="s">
        <v>607</v>
      </c>
      <c r="C7" s="16" t="s">
        <v>608</v>
      </c>
      <c r="D7" s="16">
        <v>8.7999999999999995E-2</v>
      </c>
    </row>
    <row r="8" spans="1:24" ht="14.1" customHeight="1">
      <c r="A8" s="14">
        <f t="shared" si="0"/>
        <v>4</v>
      </c>
      <c r="B8" s="77" t="s">
        <v>3099</v>
      </c>
      <c r="C8" s="16" t="s">
        <v>608</v>
      </c>
      <c r="D8" s="16">
        <v>4.4999999999999998E-2</v>
      </c>
    </row>
    <row r="9" spans="1:24" ht="14.1" customHeight="1">
      <c r="A9" s="14">
        <f t="shared" si="0"/>
        <v>5</v>
      </c>
      <c r="B9" s="15" t="s">
        <v>1857</v>
      </c>
      <c r="C9" s="16" t="s">
        <v>608</v>
      </c>
      <c r="D9" s="16">
        <v>6.2E-2</v>
      </c>
    </row>
    <row r="10" spans="1:24" ht="14.1" customHeight="1">
      <c r="A10" s="14">
        <f t="shared" si="0"/>
        <v>6</v>
      </c>
      <c r="B10" s="77" t="s">
        <v>2905</v>
      </c>
      <c r="D10" s="16">
        <v>4.4999999999999998E-2</v>
      </c>
      <c r="E10" s="164"/>
    </row>
    <row r="11" spans="1:24" ht="14.1" customHeight="1">
      <c r="A11" s="14">
        <f t="shared" si="0"/>
        <v>7</v>
      </c>
      <c r="B11" s="77" t="s">
        <v>3097</v>
      </c>
      <c r="C11" s="16" t="s">
        <v>608</v>
      </c>
      <c r="D11" s="16">
        <v>5.3999999999999999E-2</v>
      </c>
    </row>
    <row r="12" spans="1:24" ht="14.1" customHeight="1">
      <c r="A12" s="14">
        <f t="shared" si="0"/>
        <v>8</v>
      </c>
      <c r="B12" s="77" t="s">
        <v>3098</v>
      </c>
      <c r="C12" s="16" t="s">
        <v>608</v>
      </c>
      <c r="D12" s="16">
        <v>5.6000000000000001E-2</v>
      </c>
    </row>
    <row r="13" spans="1:24" ht="14.1" customHeight="1">
      <c r="A13" s="14">
        <f t="shared" si="0"/>
        <v>9</v>
      </c>
      <c r="B13" s="77" t="s">
        <v>2903</v>
      </c>
      <c r="C13" s="16" t="s">
        <v>608</v>
      </c>
      <c r="D13" s="16">
        <v>4.2999999999999997E-2</v>
      </c>
    </row>
    <row r="14" spans="1:24" ht="14.1" customHeight="1">
      <c r="A14" s="14">
        <f t="shared" si="0"/>
        <v>10</v>
      </c>
      <c r="B14" s="77" t="s">
        <v>2904</v>
      </c>
      <c r="C14" s="16" t="s">
        <v>608</v>
      </c>
      <c r="D14" s="16">
        <v>4.4999999999999998E-2</v>
      </c>
    </row>
    <row r="15" spans="1:24" ht="14.1" customHeight="1">
      <c r="A15" s="14">
        <f t="shared" si="0"/>
        <v>11</v>
      </c>
      <c r="B15" s="15" t="s">
        <v>896</v>
      </c>
      <c r="C15" s="16" t="s">
        <v>608</v>
      </c>
      <c r="D15" s="16">
        <v>4.1000000000000002E-2</v>
      </c>
    </row>
    <row r="16" spans="1:24" ht="14.1" customHeight="1">
      <c r="A16" s="14">
        <f t="shared" si="0"/>
        <v>12</v>
      </c>
      <c r="B16" s="15" t="s">
        <v>899</v>
      </c>
      <c r="C16" s="16" t="s">
        <v>608</v>
      </c>
      <c r="D16" s="16">
        <v>4.2000000000000003E-2</v>
      </c>
    </row>
    <row r="17" spans="1:4" ht="14.1" customHeight="1">
      <c r="A17" s="14">
        <f t="shared" si="0"/>
        <v>13</v>
      </c>
      <c r="B17" s="77" t="s">
        <v>2906</v>
      </c>
      <c r="C17" s="16" t="s">
        <v>608</v>
      </c>
      <c r="D17" s="16">
        <v>3.1E-2</v>
      </c>
    </row>
    <row r="18" spans="1:4" ht="14.1" customHeight="1">
      <c r="A18" s="14">
        <f t="shared" ref="A18:A78" si="1">A17+1</f>
        <v>14</v>
      </c>
      <c r="B18" s="77" t="s">
        <v>2907</v>
      </c>
      <c r="C18" s="16" t="s">
        <v>608</v>
      </c>
      <c r="D18" s="16">
        <v>3.2000000000000001E-2</v>
      </c>
    </row>
    <row r="19" spans="1:4" ht="14.1" customHeight="1">
      <c r="A19" s="14">
        <f t="shared" si="1"/>
        <v>15</v>
      </c>
      <c r="B19" s="77" t="s">
        <v>2908</v>
      </c>
      <c r="C19" s="151" t="s">
        <v>2556</v>
      </c>
      <c r="D19" s="16">
        <v>2.7E-2</v>
      </c>
    </row>
    <row r="20" spans="1:4" ht="14.1" customHeight="1">
      <c r="A20" s="14">
        <f t="shared" si="1"/>
        <v>16</v>
      </c>
      <c r="B20" s="77" t="s">
        <v>2909</v>
      </c>
      <c r="C20" s="151" t="s">
        <v>2556</v>
      </c>
      <c r="D20" s="16">
        <v>2.8000000000000001E-2</v>
      </c>
    </row>
    <row r="21" spans="1:4" ht="14.1" customHeight="1">
      <c r="A21" s="14">
        <f t="shared" si="1"/>
        <v>17</v>
      </c>
      <c r="B21" s="77" t="s">
        <v>2765</v>
      </c>
      <c r="C21" s="151" t="s">
        <v>2261</v>
      </c>
      <c r="D21" s="16">
        <v>0</v>
      </c>
    </row>
    <row r="22" spans="1:4" ht="14.1" customHeight="1">
      <c r="A22" s="14">
        <f t="shared" si="1"/>
        <v>18</v>
      </c>
      <c r="B22" s="15" t="s">
        <v>3167</v>
      </c>
      <c r="C22" s="152" t="s">
        <v>3168</v>
      </c>
      <c r="D22" s="16">
        <v>5.6000000000000001E-2</v>
      </c>
    </row>
    <row r="23" spans="1:4" ht="14.1" customHeight="1">
      <c r="A23" s="14">
        <f t="shared" si="1"/>
        <v>19</v>
      </c>
      <c r="B23" s="101" t="s">
        <v>2110</v>
      </c>
      <c r="C23" s="151" t="s">
        <v>2261</v>
      </c>
    </row>
    <row r="24" spans="1:4" ht="14.1" customHeight="1">
      <c r="A24" s="14">
        <f t="shared" si="1"/>
        <v>20</v>
      </c>
      <c r="B24" s="77" t="s">
        <v>2707</v>
      </c>
      <c r="C24" s="151" t="s">
        <v>2556</v>
      </c>
      <c r="D24" s="16">
        <v>0.31330000000000002</v>
      </c>
    </row>
    <row r="25" spans="1:4" ht="14.1" customHeight="1">
      <c r="A25" s="14">
        <f t="shared" si="1"/>
        <v>21</v>
      </c>
      <c r="B25" s="77" t="s">
        <v>2708</v>
      </c>
      <c r="C25" s="151" t="s">
        <v>2556</v>
      </c>
      <c r="D25" s="16">
        <v>0.31769999999999998</v>
      </c>
    </row>
    <row r="26" spans="1:4" ht="14.1" customHeight="1">
      <c r="A26" s="14">
        <f t="shared" si="1"/>
        <v>22</v>
      </c>
      <c r="B26" s="15" t="s">
        <v>607</v>
      </c>
      <c r="C26" s="16" t="s">
        <v>608</v>
      </c>
      <c r="D26" s="16">
        <v>8.7999999999999995E-2</v>
      </c>
    </row>
    <row r="27" spans="1:4" ht="14.1" customHeight="1">
      <c r="A27" s="14">
        <f t="shared" si="1"/>
        <v>23</v>
      </c>
      <c r="B27" s="15" t="s">
        <v>609</v>
      </c>
      <c r="C27" s="16" t="s">
        <v>608</v>
      </c>
      <c r="D27" s="16">
        <v>8.4000000000000005E-2</v>
      </c>
    </row>
    <row r="28" spans="1:4" ht="14.1" customHeight="1">
      <c r="A28" s="14">
        <f t="shared" si="1"/>
        <v>24</v>
      </c>
      <c r="B28" s="15" t="s">
        <v>610</v>
      </c>
      <c r="C28" s="16" t="s">
        <v>608</v>
      </c>
      <c r="D28" s="16">
        <v>9.4E-2</v>
      </c>
    </row>
    <row r="29" spans="1:4" ht="14.1" customHeight="1">
      <c r="A29" s="14">
        <f t="shared" si="1"/>
        <v>25</v>
      </c>
      <c r="B29" s="15" t="s">
        <v>611</v>
      </c>
      <c r="C29" s="16" t="s">
        <v>608</v>
      </c>
      <c r="D29" s="16">
        <v>0.09</v>
      </c>
    </row>
    <row r="30" spans="1:4" ht="14.1" customHeight="1">
      <c r="A30" s="14">
        <f t="shared" si="1"/>
        <v>26</v>
      </c>
      <c r="B30" s="15" t="s">
        <v>612</v>
      </c>
      <c r="C30" s="16" t="s">
        <v>608</v>
      </c>
      <c r="D30" s="16">
        <v>0.08</v>
      </c>
    </row>
    <row r="31" spans="1:4" ht="14.1" customHeight="1">
      <c r="A31" s="14">
        <f t="shared" si="1"/>
        <v>27</v>
      </c>
      <c r="B31" s="15" t="s">
        <v>613</v>
      </c>
      <c r="C31" s="16" t="s">
        <v>608</v>
      </c>
      <c r="D31" s="16">
        <v>0.77</v>
      </c>
    </row>
    <row r="32" spans="1:4" ht="14.1" customHeight="1">
      <c r="A32" s="14">
        <f t="shared" si="1"/>
        <v>28</v>
      </c>
      <c r="B32" s="15" t="s">
        <v>614</v>
      </c>
      <c r="C32" s="16" t="s">
        <v>608</v>
      </c>
      <c r="D32" s="16">
        <v>8.5000000000000006E-2</v>
      </c>
    </row>
    <row r="33" spans="1:4" ht="14.1" customHeight="1">
      <c r="A33" s="14">
        <f t="shared" si="1"/>
        <v>29</v>
      </c>
      <c r="B33" s="15" t="s">
        <v>615</v>
      </c>
      <c r="C33" s="16" t="s">
        <v>608</v>
      </c>
      <c r="D33" s="16">
        <v>8.2000000000000003E-2</v>
      </c>
    </row>
    <row r="34" spans="1:4" ht="14.1" customHeight="1">
      <c r="A34" s="14">
        <f t="shared" si="1"/>
        <v>30</v>
      </c>
      <c r="B34" s="15" t="s">
        <v>616</v>
      </c>
      <c r="C34" s="16" t="s">
        <v>608</v>
      </c>
      <c r="D34" s="16">
        <v>7.3999999999999996E-2</v>
      </c>
    </row>
    <row r="35" spans="1:4" ht="14.1" customHeight="1">
      <c r="A35" s="14">
        <f t="shared" si="1"/>
        <v>31</v>
      </c>
      <c r="B35" s="15" t="s">
        <v>617</v>
      </c>
      <c r="C35" s="16" t="s">
        <v>608</v>
      </c>
      <c r="D35" s="16">
        <v>7.0999999999999994E-2</v>
      </c>
    </row>
    <row r="36" spans="1:4" ht="14.1" customHeight="1">
      <c r="A36" s="14">
        <f t="shared" si="1"/>
        <v>32</v>
      </c>
      <c r="B36" s="15" t="s">
        <v>618</v>
      </c>
      <c r="C36" s="16" t="s">
        <v>608</v>
      </c>
      <c r="D36" s="16">
        <v>7.8E-2</v>
      </c>
    </row>
    <row r="37" spans="1:4" ht="14.1" customHeight="1">
      <c r="A37" s="14">
        <f t="shared" si="1"/>
        <v>33</v>
      </c>
      <c r="B37" s="15" t="s">
        <v>619</v>
      </c>
      <c r="C37" s="16" t="s">
        <v>608</v>
      </c>
      <c r="D37" s="16">
        <v>7.4999999999999997E-2</v>
      </c>
    </row>
    <row r="38" spans="1:4" ht="14.1" customHeight="1">
      <c r="A38" s="14">
        <f t="shared" si="1"/>
        <v>34</v>
      </c>
      <c r="B38" s="15" t="s">
        <v>620</v>
      </c>
      <c r="C38" s="16" t="s">
        <v>608</v>
      </c>
      <c r="D38" s="16">
        <v>6.9000000000000006E-2</v>
      </c>
    </row>
    <row r="39" spans="1:4" ht="14.1" customHeight="1">
      <c r="A39" s="14">
        <f t="shared" si="1"/>
        <v>35</v>
      </c>
      <c r="B39" s="15" t="s">
        <v>621</v>
      </c>
      <c r="C39" s="16" t="s">
        <v>608</v>
      </c>
      <c r="D39" s="16">
        <v>6.6000000000000003E-2</v>
      </c>
    </row>
    <row r="40" spans="1:4" ht="14.1" customHeight="1">
      <c r="A40" s="14">
        <f t="shared" si="1"/>
        <v>36</v>
      </c>
      <c r="B40" s="15" t="s">
        <v>622</v>
      </c>
      <c r="C40" s="16" t="s">
        <v>608</v>
      </c>
      <c r="D40" s="16">
        <v>7.1999999999999995E-2</v>
      </c>
    </row>
    <row r="41" spans="1:4" ht="14.1" customHeight="1">
      <c r="A41" s="14">
        <f t="shared" si="1"/>
        <v>37</v>
      </c>
      <c r="B41" s="15" t="s">
        <v>623</v>
      </c>
      <c r="C41" s="16" t="s">
        <v>608</v>
      </c>
      <c r="D41" s="16">
        <v>7.0000000000000007E-2</v>
      </c>
    </row>
    <row r="42" spans="1:4" ht="14.1" customHeight="1">
      <c r="A42" s="14">
        <f t="shared" si="1"/>
        <v>38</v>
      </c>
      <c r="B42" s="15" t="s">
        <v>624</v>
      </c>
      <c r="C42" s="16" t="s">
        <v>608</v>
      </c>
      <c r="D42" s="16">
        <v>6.4000000000000001E-2</v>
      </c>
    </row>
    <row r="43" spans="1:4" ht="14.1" customHeight="1">
      <c r="A43" s="14">
        <f t="shared" si="1"/>
        <v>39</v>
      </c>
      <c r="B43" s="15" t="s">
        <v>625</v>
      </c>
      <c r="C43" s="16" t="s">
        <v>608</v>
      </c>
      <c r="D43" s="16">
        <v>6.2E-2</v>
      </c>
    </row>
    <row r="44" spans="1:4" ht="14.1" customHeight="1">
      <c r="A44" s="14">
        <f t="shared" si="1"/>
        <v>40</v>
      </c>
      <c r="B44" s="15" t="s">
        <v>626</v>
      </c>
      <c r="C44" s="16" t="s">
        <v>608</v>
      </c>
      <c r="D44" s="16">
        <v>6.7000000000000004E-2</v>
      </c>
    </row>
    <row r="45" spans="1:4" ht="14.1" customHeight="1">
      <c r="A45" s="14">
        <f t="shared" si="1"/>
        <v>41</v>
      </c>
      <c r="B45" s="15" t="s">
        <v>627</v>
      </c>
      <c r="C45" s="16" t="s">
        <v>608</v>
      </c>
      <c r="D45" s="16">
        <v>6.5000000000000002E-2</v>
      </c>
    </row>
    <row r="46" spans="1:4" ht="14.1" customHeight="1">
      <c r="A46" s="14">
        <f t="shared" si="1"/>
        <v>42</v>
      </c>
      <c r="B46" s="15" t="s">
        <v>628</v>
      </c>
      <c r="C46" s="16" t="s">
        <v>608</v>
      </c>
      <c r="D46" s="16">
        <v>0.06</v>
      </c>
    </row>
    <row r="47" spans="1:4" ht="14.1" customHeight="1">
      <c r="A47" s="14">
        <f t="shared" si="1"/>
        <v>43</v>
      </c>
      <c r="B47" s="15" t="s">
        <v>629</v>
      </c>
      <c r="C47" s="16" t="s">
        <v>608</v>
      </c>
      <c r="D47" s="16">
        <v>5.8000000000000003E-2</v>
      </c>
    </row>
    <row r="48" spans="1:4" ht="14.1" customHeight="1">
      <c r="A48" s="14">
        <f t="shared" si="1"/>
        <v>44</v>
      </c>
      <c r="B48" s="15" t="s">
        <v>630</v>
      </c>
      <c r="C48" s="16" t="s">
        <v>608</v>
      </c>
      <c r="D48" s="16">
        <v>6.3E-2</v>
      </c>
    </row>
    <row r="49" spans="1:4" ht="14.1" customHeight="1">
      <c r="A49" s="14">
        <f t="shared" si="1"/>
        <v>45</v>
      </c>
      <c r="B49" s="15" t="s">
        <v>631</v>
      </c>
      <c r="C49" s="16" t="s">
        <v>608</v>
      </c>
      <c r="D49" s="16">
        <v>6.0999999999999999E-2</v>
      </c>
    </row>
    <row r="50" spans="1:4" ht="14.1" customHeight="1">
      <c r="A50" s="14">
        <f t="shared" si="1"/>
        <v>46</v>
      </c>
      <c r="B50" s="15" t="s">
        <v>632</v>
      </c>
      <c r="C50" s="16" t="s">
        <v>608</v>
      </c>
      <c r="D50" s="16">
        <v>5.6000000000000001E-2</v>
      </c>
    </row>
    <row r="51" spans="1:4" ht="14.1" customHeight="1">
      <c r="A51" s="14">
        <f t="shared" si="1"/>
        <v>47</v>
      </c>
      <c r="B51" s="15" t="s">
        <v>633</v>
      </c>
      <c r="C51" s="16" t="s">
        <v>608</v>
      </c>
      <c r="D51" s="16">
        <v>5.5E-2</v>
      </c>
    </row>
    <row r="52" spans="1:4" ht="14.1" customHeight="1">
      <c r="A52" s="14">
        <f t="shared" si="1"/>
        <v>48</v>
      </c>
      <c r="B52" s="15" t="s">
        <v>634</v>
      </c>
      <c r="C52" s="16" t="s">
        <v>608</v>
      </c>
      <c r="D52" s="16">
        <v>5.8999999999999997E-2</v>
      </c>
    </row>
    <row r="53" spans="1:4" ht="14.1" customHeight="1">
      <c r="A53" s="14">
        <f t="shared" si="1"/>
        <v>49</v>
      </c>
      <c r="B53" s="15" t="s">
        <v>635</v>
      </c>
      <c r="C53" s="16" t="s">
        <v>608</v>
      </c>
      <c r="D53" s="16">
        <v>5.7000000000000002E-2</v>
      </c>
    </row>
    <row r="54" spans="1:4" ht="14.1" customHeight="1">
      <c r="A54" s="14">
        <f t="shared" si="1"/>
        <v>50</v>
      </c>
      <c r="B54" s="15" t="s">
        <v>636</v>
      </c>
      <c r="C54" s="16" t="s">
        <v>608</v>
      </c>
      <c r="D54" s="16">
        <v>5.2999999999999999E-2</v>
      </c>
    </row>
    <row r="55" spans="1:4" ht="14.1" customHeight="1">
      <c r="A55" s="14">
        <f t="shared" si="1"/>
        <v>51</v>
      </c>
      <c r="B55" s="15" t="s">
        <v>637</v>
      </c>
      <c r="C55" s="16" t="s">
        <v>608</v>
      </c>
      <c r="D55" s="16">
        <v>5.1999999999999998E-2</v>
      </c>
    </row>
    <row r="56" spans="1:4" ht="14.1" customHeight="1">
      <c r="A56" s="14">
        <f t="shared" si="1"/>
        <v>52</v>
      </c>
      <c r="B56" s="15" t="s">
        <v>638</v>
      </c>
      <c r="C56" s="16" t="s">
        <v>608</v>
      </c>
      <c r="D56" s="16">
        <v>5.5E-2</v>
      </c>
    </row>
    <row r="57" spans="1:4" ht="14.1" customHeight="1">
      <c r="A57" s="14">
        <f t="shared" si="1"/>
        <v>53</v>
      </c>
      <c r="B57" s="15" t="s">
        <v>639</v>
      </c>
      <c r="C57" s="16" t="s">
        <v>608</v>
      </c>
      <c r="D57" s="16">
        <v>5.3999999999999999E-2</v>
      </c>
    </row>
    <row r="58" spans="1:4" ht="14.1" customHeight="1">
      <c r="A58" s="14">
        <f t="shared" si="1"/>
        <v>54</v>
      </c>
      <c r="B58" s="15" t="s">
        <v>640</v>
      </c>
      <c r="C58" s="16" t="s">
        <v>608</v>
      </c>
      <c r="D58" s="16">
        <v>5.0999999999999997E-2</v>
      </c>
    </row>
    <row r="59" spans="1:4" ht="14.1" customHeight="1">
      <c r="A59" s="14">
        <f t="shared" si="1"/>
        <v>55</v>
      </c>
      <c r="B59" s="15" t="s">
        <v>641</v>
      </c>
      <c r="C59" s="16" t="s">
        <v>608</v>
      </c>
      <c r="D59" s="16">
        <v>4.9000000000000002E-2</v>
      </c>
    </row>
    <row r="60" spans="1:4" ht="14.1" customHeight="1">
      <c r="A60" s="14">
        <f t="shared" si="1"/>
        <v>56</v>
      </c>
      <c r="B60" s="15" t="s">
        <v>642</v>
      </c>
      <c r="C60" s="16" t="s">
        <v>608</v>
      </c>
      <c r="D60" s="16">
        <v>5.1999999999999998E-2</v>
      </c>
    </row>
    <row r="61" spans="1:4" ht="14.1" customHeight="1">
      <c r="A61" s="14">
        <f t="shared" si="1"/>
        <v>57</v>
      </c>
      <c r="B61" s="15" t="s">
        <v>643</v>
      </c>
      <c r="C61" s="16" t="s">
        <v>608</v>
      </c>
      <c r="D61" s="16">
        <v>5.0999999999999997E-2</v>
      </c>
    </row>
    <row r="62" spans="1:4" ht="14.1" customHeight="1">
      <c r="A62" s="14">
        <f t="shared" si="1"/>
        <v>58</v>
      </c>
      <c r="B62" s="15" t="s">
        <v>644</v>
      </c>
      <c r="C62" s="16" t="s">
        <v>608</v>
      </c>
      <c r="D62" s="16">
        <v>4.8000000000000001E-2</v>
      </c>
    </row>
    <row r="63" spans="1:4" ht="14.1" customHeight="1">
      <c r="A63" s="14">
        <f t="shared" si="1"/>
        <v>59</v>
      </c>
      <c r="B63" s="15" t="s">
        <v>645</v>
      </c>
      <c r="C63" s="16" t="s">
        <v>608</v>
      </c>
      <c r="D63" s="16">
        <v>4.7E-2</v>
      </c>
    </row>
    <row r="64" spans="1:4" ht="14.1" customHeight="1">
      <c r="A64" s="14">
        <f t="shared" si="1"/>
        <v>60</v>
      </c>
      <c r="B64" s="15" t="s">
        <v>646</v>
      </c>
      <c r="C64" s="16" t="s">
        <v>608</v>
      </c>
      <c r="D64" s="16">
        <v>0.05</v>
      </c>
    </row>
    <row r="65" spans="1:4" ht="14.1" customHeight="1">
      <c r="A65" s="14">
        <f t="shared" si="1"/>
        <v>61</v>
      </c>
      <c r="B65" s="15" t="s">
        <v>647</v>
      </c>
      <c r="C65" s="16" t="s">
        <v>608</v>
      </c>
      <c r="D65" s="16">
        <v>4.9000000000000002E-2</v>
      </c>
    </row>
    <row r="66" spans="1:4" ht="14.1" customHeight="1">
      <c r="A66" s="14">
        <f t="shared" si="1"/>
        <v>62</v>
      </c>
      <c r="B66" s="15" t="s">
        <v>648</v>
      </c>
      <c r="C66" s="16" t="s">
        <v>608</v>
      </c>
      <c r="D66" s="16">
        <v>4.5999999999999999E-2</v>
      </c>
    </row>
    <row r="67" spans="1:4" ht="14.1" customHeight="1">
      <c r="A67" s="14">
        <f t="shared" si="1"/>
        <v>63</v>
      </c>
      <c r="B67" s="15" t="s">
        <v>649</v>
      </c>
      <c r="C67" s="16" t="s">
        <v>608</v>
      </c>
      <c r="D67" s="16">
        <v>4.4999999999999998E-2</v>
      </c>
    </row>
    <row r="68" spans="1:4" ht="14.1" customHeight="1">
      <c r="A68" s="14">
        <f t="shared" si="1"/>
        <v>64</v>
      </c>
      <c r="B68" s="15" t="s">
        <v>650</v>
      </c>
      <c r="C68" s="16" t="s">
        <v>608</v>
      </c>
      <c r="D68" s="16">
        <v>4.7E-2</v>
      </c>
    </row>
    <row r="69" spans="1:4" ht="14.1" customHeight="1">
      <c r="A69" s="14">
        <f t="shared" si="1"/>
        <v>65</v>
      </c>
      <c r="B69" s="15" t="s">
        <v>651</v>
      </c>
      <c r="C69" s="16" t="s">
        <v>608</v>
      </c>
      <c r="D69" s="16">
        <v>4.5999999999999999E-2</v>
      </c>
    </row>
    <row r="70" spans="1:4" ht="14.1" customHeight="1">
      <c r="A70" s="14">
        <f t="shared" si="1"/>
        <v>66</v>
      </c>
      <c r="B70" s="15" t="s">
        <v>652</v>
      </c>
      <c r="C70" s="16" t="s">
        <v>608</v>
      </c>
      <c r="D70" s="16">
        <v>4.3999999999999997E-2</v>
      </c>
    </row>
    <row r="71" spans="1:4" ht="14.1" customHeight="1">
      <c r="A71" s="14">
        <f t="shared" si="1"/>
        <v>67</v>
      </c>
      <c r="B71" s="15" t="s">
        <v>653</v>
      </c>
      <c r="C71" s="16" t="s">
        <v>608</v>
      </c>
      <c r="D71" s="16">
        <v>4.2999999999999997E-2</v>
      </c>
    </row>
    <row r="72" spans="1:4" ht="14.1" customHeight="1">
      <c r="A72" s="14">
        <f t="shared" si="1"/>
        <v>68</v>
      </c>
      <c r="B72" s="15" t="s">
        <v>654</v>
      </c>
      <c r="C72" s="16" t="s">
        <v>608</v>
      </c>
      <c r="D72" s="16">
        <v>4.4999999999999998E-2</v>
      </c>
    </row>
    <row r="73" spans="1:4" ht="14.1" customHeight="1">
      <c r="A73" s="14">
        <f t="shared" si="1"/>
        <v>69</v>
      </c>
      <c r="B73" s="15" t="s">
        <v>655</v>
      </c>
      <c r="C73" s="16" t="s">
        <v>608</v>
      </c>
      <c r="D73" s="16">
        <v>4.3999999999999997E-2</v>
      </c>
    </row>
    <row r="74" spans="1:4" ht="14.1" customHeight="1">
      <c r="A74" s="14">
        <f t="shared" si="1"/>
        <v>70</v>
      </c>
      <c r="B74" s="15" t="s">
        <v>656</v>
      </c>
      <c r="C74" s="16" t="s">
        <v>608</v>
      </c>
      <c r="D74" s="16">
        <v>4.2000000000000003E-2</v>
      </c>
    </row>
    <row r="75" spans="1:4" ht="14.1" customHeight="1">
      <c r="A75" s="14">
        <f t="shared" si="1"/>
        <v>71</v>
      </c>
      <c r="B75" s="15" t="s">
        <v>657</v>
      </c>
      <c r="C75" s="16" t="s">
        <v>608</v>
      </c>
      <c r="D75" s="16">
        <v>4.1000000000000002E-2</v>
      </c>
    </row>
    <row r="76" spans="1:4" ht="14.1" customHeight="1">
      <c r="A76" s="14">
        <f t="shared" si="1"/>
        <v>72</v>
      </c>
      <c r="B76" s="15" t="s">
        <v>658</v>
      </c>
      <c r="C76" s="16" t="s">
        <v>608</v>
      </c>
      <c r="D76" s="16">
        <v>4.2999999999999997E-2</v>
      </c>
    </row>
    <row r="77" spans="1:4" ht="14.1" customHeight="1">
      <c r="A77" s="14">
        <f t="shared" si="1"/>
        <v>73</v>
      </c>
      <c r="B77" s="15" t="s">
        <v>659</v>
      </c>
      <c r="C77" s="16" t="s">
        <v>608</v>
      </c>
      <c r="D77" s="16">
        <v>4.2000000000000003E-2</v>
      </c>
    </row>
    <row r="78" spans="1:4" ht="14.1" customHeight="1">
      <c r="A78" s="14">
        <f t="shared" si="1"/>
        <v>74</v>
      </c>
      <c r="B78" s="15" t="s">
        <v>660</v>
      </c>
      <c r="C78" s="16" t="s">
        <v>608</v>
      </c>
      <c r="D78" s="16">
        <v>8.2000000000000003E-2</v>
      </c>
    </row>
    <row r="79" spans="1:4" ht="14.1" customHeight="1">
      <c r="A79" s="14">
        <f t="shared" ref="A79:A142" si="2">A78+1</f>
        <v>75</v>
      </c>
      <c r="B79" s="15" t="s">
        <v>661</v>
      </c>
      <c r="C79" s="16" t="s">
        <v>608</v>
      </c>
      <c r="D79" s="16">
        <v>7.8E-2</v>
      </c>
    </row>
    <row r="80" spans="1:4" ht="14.1" customHeight="1">
      <c r="A80" s="14">
        <f t="shared" si="2"/>
        <v>76</v>
      </c>
      <c r="B80" s="15" t="s">
        <v>662</v>
      </c>
      <c r="C80" s="16" t="s">
        <v>608</v>
      </c>
      <c r="D80" s="16">
        <v>8.7999999999999995E-2</v>
      </c>
    </row>
    <row r="81" spans="1:4" ht="14.1" customHeight="1">
      <c r="A81" s="14">
        <f t="shared" si="2"/>
        <v>77</v>
      </c>
      <c r="B81" s="15" t="s">
        <v>663</v>
      </c>
      <c r="C81" s="16" t="s">
        <v>608</v>
      </c>
      <c r="D81" s="16">
        <v>8.3000000000000004E-2</v>
      </c>
    </row>
    <row r="82" spans="1:4" ht="14.1" customHeight="1">
      <c r="A82" s="14">
        <f t="shared" si="2"/>
        <v>78</v>
      </c>
      <c r="B82" s="15" t="s">
        <v>664</v>
      </c>
      <c r="C82" s="16" t="s">
        <v>608</v>
      </c>
      <c r="D82" s="16">
        <v>7.4999999999999997E-2</v>
      </c>
    </row>
    <row r="83" spans="1:4" ht="14.1" customHeight="1">
      <c r="A83" s="14">
        <f t="shared" si="2"/>
        <v>79</v>
      </c>
      <c r="B83" s="15" t="s">
        <v>665</v>
      </c>
      <c r="C83" s="16" t="s">
        <v>608</v>
      </c>
      <c r="D83" s="16">
        <v>7.1999999999999995E-2</v>
      </c>
    </row>
    <row r="84" spans="1:4" ht="14.1" customHeight="1">
      <c r="A84" s="14">
        <f t="shared" si="2"/>
        <v>80</v>
      </c>
      <c r="B84" s="15" t="s">
        <v>666</v>
      </c>
      <c r="C84" s="16" t="s">
        <v>608</v>
      </c>
      <c r="D84" s="16">
        <v>0.08</v>
      </c>
    </row>
    <row r="85" spans="1:4" ht="14.1" customHeight="1">
      <c r="A85" s="14">
        <f t="shared" si="2"/>
        <v>81</v>
      </c>
      <c r="B85" s="15" t="s">
        <v>667</v>
      </c>
      <c r="C85" s="16" t="s">
        <v>608</v>
      </c>
      <c r="D85" s="16">
        <v>7.5999999999999998E-2</v>
      </c>
    </row>
    <row r="86" spans="1:4" ht="14.1" customHeight="1">
      <c r="A86" s="14">
        <f t="shared" si="2"/>
        <v>82</v>
      </c>
      <c r="B86" s="15" t="s">
        <v>668</v>
      </c>
      <c r="C86" s="16" t="s">
        <v>608</v>
      </c>
      <c r="D86" s="16">
        <v>6.9000000000000006E-2</v>
      </c>
    </row>
    <row r="87" spans="1:4" ht="14.1" customHeight="1">
      <c r="A87" s="14">
        <f t="shared" si="2"/>
        <v>83</v>
      </c>
      <c r="B87" s="15" t="s">
        <v>669</v>
      </c>
      <c r="C87" s="16" t="s">
        <v>608</v>
      </c>
      <c r="D87" s="16">
        <v>6.6000000000000003E-2</v>
      </c>
    </row>
    <row r="88" spans="1:4" ht="14.1" customHeight="1">
      <c r="A88" s="14">
        <f t="shared" si="2"/>
        <v>84</v>
      </c>
      <c r="B88" s="15" t="s">
        <v>670</v>
      </c>
      <c r="C88" s="16" t="s">
        <v>608</v>
      </c>
      <c r="D88" s="16">
        <v>7.2999999999999995E-2</v>
      </c>
    </row>
    <row r="89" spans="1:4" ht="14.1" customHeight="1">
      <c r="A89" s="14">
        <f t="shared" si="2"/>
        <v>85</v>
      </c>
      <c r="B89" s="15" t="s">
        <v>671</v>
      </c>
      <c r="C89" s="16" t="s">
        <v>608</v>
      </c>
      <c r="D89" s="16">
        <v>7.0000000000000007E-2</v>
      </c>
    </row>
    <row r="90" spans="1:4" ht="14.1" customHeight="1">
      <c r="A90" s="14">
        <f t="shared" si="2"/>
        <v>86</v>
      </c>
      <c r="B90" s="15" t="s">
        <v>672</v>
      </c>
      <c r="C90" s="16" t="s">
        <v>608</v>
      </c>
      <c r="D90" s="16">
        <v>6.5000000000000002E-2</v>
      </c>
    </row>
    <row r="91" spans="1:4" ht="14.1" customHeight="1">
      <c r="A91" s="14">
        <f t="shared" si="2"/>
        <v>87</v>
      </c>
      <c r="B91" s="15" t="s">
        <v>673</v>
      </c>
      <c r="C91" s="16" t="s">
        <v>608</v>
      </c>
      <c r="D91" s="16">
        <v>6.2E-2</v>
      </c>
    </row>
    <row r="92" spans="1:4" ht="14.1" customHeight="1">
      <c r="A92" s="14">
        <f t="shared" si="2"/>
        <v>88</v>
      </c>
      <c r="B92" s="15" t="s">
        <v>674</v>
      </c>
      <c r="C92" s="16" t="s">
        <v>608</v>
      </c>
      <c r="D92" s="16">
        <v>6.8000000000000005E-2</v>
      </c>
    </row>
    <row r="93" spans="1:4" ht="14.1" customHeight="1">
      <c r="A93" s="14">
        <f t="shared" si="2"/>
        <v>89</v>
      </c>
      <c r="B93" s="15" t="s">
        <v>675</v>
      </c>
      <c r="C93" s="16" t="s">
        <v>608</v>
      </c>
      <c r="D93" s="16">
        <v>6.5000000000000002E-2</v>
      </c>
    </row>
    <row r="94" spans="1:4" ht="14.1" customHeight="1">
      <c r="A94" s="14">
        <f t="shared" si="2"/>
        <v>90</v>
      </c>
      <c r="B94" s="15" t="s">
        <v>676</v>
      </c>
      <c r="C94" s="16" t="s">
        <v>608</v>
      </c>
      <c r="D94" s="16">
        <v>0.06</v>
      </c>
    </row>
    <row r="95" spans="1:4" ht="14.1" customHeight="1">
      <c r="A95" s="14">
        <f t="shared" si="2"/>
        <v>91</v>
      </c>
      <c r="B95" s="15" t="s">
        <v>677</v>
      </c>
      <c r="C95" s="16" t="s">
        <v>608</v>
      </c>
      <c r="D95" s="16">
        <v>5.8000000000000003E-2</v>
      </c>
    </row>
    <row r="96" spans="1:4" ht="14.1" customHeight="1">
      <c r="A96" s="14">
        <f t="shared" si="2"/>
        <v>92</v>
      </c>
      <c r="B96" s="15" t="s">
        <v>678</v>
      </c>
      <c r="C96" s="16" t="s">
        <v>608</v>
      </c>
      <c r="D96" s="16">
        <v>6.3E-2</v>
      </c>
    </row>
    <row r="97" spans="1:4" ht="14.1" customHeight="1">
      <c r="A97" s="14">
        <f t="shared" si="2"/>
        <v>93</v>
      </c>
      <c r="B97" s="15" t="s">
        <v>679</v>
      </c>
      <c r="C97" s="16" t="s">
        <v>608</v>
      </c>
      <c r="D97" s="16">
        <v>6.0999999999999999E-2</v>
      </c>
    </row>
    <row r="98" spans="1:4" ht="14.1" customHeight="1">
      <c r="A98" s="14">
        <f t="shared" si="2"/>
        <v>94</v>
      </c>
      <c r="B98" s="15" t="s">
        <v>680</v>
      </c>
      <c r="C98" s="16" t="s">
        <v>608</v>
      </c>
      <c r="D98" s="16">
        <v>5.7000000000000002E-2</v>
      </c>
    </row>
    <row r="99" spans="1:4" ht="14.1" customHeight="1">
      <c r="A99" s="14">
        <f t="shared" si="2"/>
        <v>95</v>
      </c>
      <c r="B99" s="15" t="s">
        <v>681</v>
      </c>
      <c r="C99" s="16" t="s">
        <v>608</v>
      </c>
      <c r="D99" s="16">
        <v>5.5E-2</v>
      </c>
    </row>
    <row r="100" spans="1:4" ht="14.1" customHeight="1">
      <c r="A100" s="14">
        <f t="shared" si="2"/>
        <v>96</v>
      </c>
      <c r="B100" s="15" t="s">
        <v>682</v>
      </c>
      <c r="C100" s="16" t="s">
        <v>608</v>
      </c>
      <c r="D100" s="16">
        <v>5.8999999999999997E-2</v>
      </c>
    </row>
    <row r="101" spans="1:4" ht="14.1" customHeight="1">
      <c r="A101" s="14">
        <f t="shared" si="2"/>
        <v>97</v>
      </c>
      <c r="B101" s="15" t="s">
        <v>683</v>
      </c>
      <c r="C101" s="16" t="s">
        <v>608</v>
      </c>
      <c r="D101" s="16">
        <v>5.7000000000000002E-2</v>
      </c>
    </row>
    <row r="102" spans="1:4" ht="14.1" customHeight="1">
      <c r="A102" s="14">
        <f t="shared" si="2"/>
        <v>98</v>
      </c>
      <c r="B102" s="15" t="s">
        <v>684</v>
      </c>
      <c r="C102" s="16" t="s">
        <v>608</v>
      </c>
      <c r="D102" s="16">
        <v>5.2999999999999999E-2</v>
      </c>
    </row>
    <row r="103" spans="1:4" ht="14.1" customHeight="1">
      <c r="A103" s="14">
        <f t="shared" si="2"/>
        <v>99</v>
      </c>
      <c r="B103" s="15" t="s">
        <v>685</v>
      </c>
      <c r="C103" s="16" t="s">
        <v>608</v>
      </c>
      <c r="D103" s="16">
        <v>5.1999999999999998E-2</v>
      </c>
    </row>
    <row r="104" spans="1:4" ht="14.1" customHeight="1">
      <c r="A104" s="14">
        <f t="shared" si="2"/>
        <v>100</v>
      </c>
      <c r="B104" s="15" t="s">
        <v>686</v>
      </c>
      <c r="C104" s="16" t="s">
        <v>608</v>
      </c>
      <c r="D104" s="16">
        <v>5.6000000000000001E-2</v>
      </c>
    </row>
    <row r="105" spans="1:4" ht="14.1" customHeight="1">
      <c r="A105" s="14">
        <f t="shared" si="2"/>
        <v>101</v>
      </c>
      <c r="B105" s="15" t="s">
        <v>687</v>
      </c>
      <c r="C105" s="16" t="s">
        <v>608</v>
      </c>
      <c r="D105" s="16">
        <v>5.3999999999999999E-2</v>
      </c>
    </row>
    <row r="106" spans="1:4" ht="14.1" customHeight="1">
      <c r="A106" s="14">
        <f t="shared" si="2"/>
        <v>102</v>
      </c>
      <c r="B106" s="15" t="s">
        <v>688</v>
      </c>
      <c r="C106" s="16" t="s">
        <v>608</v>
      </c>
      <c r="D106" s="16">
        <v>5.0999999999999997E-2</v>
      </c>
    </row>
    <row r="107" spans="1:4" ht="14.1" customHeight="1">
      <c r="A107" s="14">
        <f t="shared" si="2"/>
        <v>103</v>
      </c>
      <c r="B107" s="15" t="s">
        <v>689</v>
      </c>
      <c r="C107" s="16" t="s">
        <v>608</v>
      </c>
      <c r="D107" s="16">
        <v>4.9000000000000002E-2</v>
      </c>
    </row>
    <row r="108" spans="1:4" ht="14.1" customHeight="1">
      <c r="A108" s="14">
        <f t="shared" si="2"/>
        <v>104</v>
      </c>
      <c r="B108" s="15" t="s">
        <v>690</v>
      </c>
      <c r="C108" s="16" t="s">
        <v>608</v>
      </c>
      <c r="D108" s="16">
        <v>5.1999999999999998E-2</v>
      </c>
    </row>
    <row r="109" spans="1:4" ht="14.1" customHeight="1">
      <c r="A109" s="14">
        <f t="shared" si="2"/>
        <v>105</v>
      </c>
      <c r="B109" s="15" t="s">
        <v>691</v>
      </c>
      <c r="C109" s="16" t="s">
        <v>608</v>
      </c>
      <c r="D109" s="16">
        <v>5.0999999999999997E-2</v>
      </c>
    </row>
    <row r="110" spans="1:4" ht="14.1" customHeight="1">
      <c r="A110" s="14">
        <f t="shared" si="2"/>
        <v>106</v>
      </c>
      <c r="B110" s="15" t="s">
        <v>692</v>
      </c>
      <c r="C110" s="16" t="s">
        <v>608</v>
      </c>
      <c r="D110" s="16">
        <v>4.8000000000000001E-2</v>
      </c>
    </row>
    <row r="111" spans="1:4" ht="14.1" customHeight="1">
      <c r="A111" s="14">
        <f t="shared" si="2"/>
        <v>107</v>
      </c>
      <c r="B111" s="15" t="s">
        <v>693</v>
      </c>
      <c r="C111" s="16" t="s">
        <v>608</v>
      </c>
      <c r="D111" s="16">
        <v>4.7E-2</v>
      </c>
    </row>
    <row r="112" spans="1:4" ht="14.1" customHeight="1">
      <c r="A112" s="14">
        <f t="shared" si="2"/>
        <v>108</v>
      </c>
      <c r="B112" s="15" t="s">
        <v>694</v>
      </c>
      <c r="C112" s="16" t="s">
        <v>608</v>
      </c>
      <c r="D112" s="16">
        <v>0.05</v>
      </c>
    </row>
    <row r="113" spans="1:4" ht="14.1" customHeight="1">
      <c r="A113" s="14">
        <f t="shared" si="2"/>
        <v>109</v>
      </c>
      <c r="B113" s="15" t="s">
        <v>695</v>
      </c>
      <c r="C113" s="16" t="s">
        <v>608</v>
      </c>
      <c r="D113" s="16">
        <v>4.8000000000000001E-2</v>
      </c>
    </row>
    <row r="114" spans="1:4" ht="14.1" customHeight="1">
      <c r="A114" s="14">
        <f t="shared" si="2"/>
        <v>110</v>
      </c>
      <c r="B114" s="15" t="s">
        <v>696</v>
      </c>
      <c r="C114" s="16" t="s">
        <v>608</v>
      </c>
      <c r="D114" s="16">
        <v>4.5999999999999999E-2</v>
      </c>
    </row>
    <row r="115" spans="1:4" ht="14.1" customHeight="1">
      <c r="A115" s="14">
        <f t="shared" si="2"/>
        <v>111</v>
      </c>
      <c r="B115" s="15" t="s">
        <v>697</v>
      </c>
      <c r="C115" s="16" t="s">
        <v>608</v>
      </c>
      <c r="D115" s="16">
        <v>4.4999999999999998E-2</v>
      </c>
    </row>
    <row r="116" spans="1:4" ht="14.1" customHeight="1">
      <c r="A116" s="14">
        <f t="shared" si="2"/>
        <v>112</v>
      </c>
      <c r="B116" s="15" t="s">
        <v>698</v>
      </c>
      <c r="C116" s="16" t="s">
        <v>608</v>
      </c>
      <c r="D116" s="16">
        <v>4.7E-2</v>
      </c>
    </row>
    <row r="117" spans="1:4" ht="14.1" customHeight="1">
      <c r="A117" s="14">
        <f t="shared" si="2"/>
        <v>113</v>
      </c>
      <c r="B117" s="15" t="s">
        <v>699</v>
      </c>
      <c r="C117" s="16" t="s">
        <v>608</v>
      </c>
      <c r="D117" s="16">
        <v>4.5999999999999999E-2</v>
      </c>
    </row>
    <row r="118" spans="1:4" ht="14.1" customHeight="1">
      <c r="A118" s="14">
        <f t="shared" si="2"/>
        <v>114</v>
      </c>
      <c r="B118" s="15" t="s">
        <v>700</v>
      </c>
      <c r="C118" s="16" t="s">
        <v>608</v>
      </c>
      <c r="D118" s="16">
        <v>4.3999999999999997E-2</v>
      </c>
    </row>
    <row r="119" spans="1:4" ht="14.1" customHeight="1">
      <c r="A119" s="14">
        <f t="shared" si="2"/>
        <v>115</v>
      </c>
      <c r="B119" s="15" t="s">
        <v>701</v>
      </c>
      <c r="C119" s="16" t="s">
        <v>608</v>
      </c>
      <c r="D119" s="16">
        <v>4.2999999999999997E-2</v>
      </c>
    </row>
    <row r="120" spans="1:4" ht="14.1" customHeight="1">
      <c r="A120" s="14">
        <f t="shared" si="2"/>
        <v>116</v>
      </c>
      <c r="B120" s="15" t="s">
        <v>702</v>
      </c>
      <c r="C120" s="16" t="s">
        <v>608</v>
      </c>
      <c r="D120" s="16">
        <v>4.4999999999999998E-2</v>
      </c>
    </row>
    <row r="121" spans="1:4" ht="14.1" customHeight="1">
      <c r="A121" s="14">
        <f t="shared" si="2"/>
        <v>117</v>
      </c>
      <c r="B121" s="15" t="s">
        <v>703</v>
      </c>
      <c r="C121" s="16" t="s">
        <v>608</v>
      </c>
      <c r="D121" s="16">
        <v>4.3999999999999997E-2</v>
      </c>
    </row>
    <row r="122" spans="1:4" ht="14.1" customHeight="1">
      <c r="A122" s="14">
        <f t="shared" si="2"/>
        <v>118</v>
      </c>
      <c r="B122" s="15" t="s">
        <v>704</v>
      </c>
      <c r="C122" s="16" t="s">
        <v>608</v>
      </c>
      <c r="D122" s="16">
        <v>4.2000000000000003E-2</v>
      </c>
    </row>
    <row r="123" spans="1:4" ht="14.1" customHeight="1">
      <c r="A123" s="14">
        <f t="shared" si="2"/>
        <v>119</v>
      </c>
      <c r="B123" s="15" t="s">
        <v>705</v>
      </c>
      <c r="C123" s="16" t="s">
        <v>608</v>
      </c>
      <c r="D123" s="16">
        <v>4.1000000000000002E-2</v>
      </c>
    </row>
    <row r="124" spans="1:4" ht="14.1" customHeight="1">
      <c r="A124" s="14">
        <f t="shared" si="2"/>
        <v>120</v>
      </c>
      <c r="B124" s="15" t="s">
        <v>706</v>
      </c>
      <c r="C124" s="16" t="s">
        <v>608</v>
      </c>
      <c r="D124" s="16">
        <v>4.2999999999999997E-2</v>
      </c>
    </row>
    <row r="125" spans="1:4" ht="14.1" customHeight="1">
      <c r="A125" s="14">
        <f t="shared" si="2"/>
        <v>121</v>
      </c>
      <c r="B125" s="15" t="s">
        <v>707</v>
      </c>
      <c r="C125" s="16" t="s">
        <v>608</v>
      </c>
      <c r="D125" s="16">
        <v>4.2000000000000003E-2</v>
      </c>
    </row>
    <row r="126" spans="1:4" ht="14.1" customHeight="1">
      <c r="A126" s="14">
        <f t="shared" si="2"/>
        <v>122</v>
      </c>
      <c r="B126" s="15" t="s">
        <v>708</v>
      </c>
      <c r="C126" s="16" t="s">
        <v>608</v>
      </c>
      <c r="D126" s="16">
        <v>0.04</v>
      </c>
    </row>
    <row r="127" spans="1:4" ht="14.1" customHeight="1">
      <c r="A127" s="14">
        <f t="shared" si="2"/>
        <v>123</v>
      </c>
      <c r="B127" s="15" t="s">
        <v>709</v>
      </c>
      <c r="C127" s="16" t="s">
        <v>608</v>
      </c>
      <c r="D127" s="16">
        <v>3.9E-2</v>
      </c>
    </row>
    <row r="128" spans="1:4" ht="14.1" customHeight="1">
      <c r="A128" s="14">
        <f t="shared" si="2"/>
        <v>124</v>
      </c>
      <c r="B128" s="15" t="s">
        <v>710</v>
      </c>
      <c r="C128" s="16" t="s">
        <v>608</v>
      </c>
      <c r="D128" s="16">
        <v>4.1000000000000002E-2</v>
      </c>
    </row>
    <row r="129" spans="1:4" ht="14.1" customHeight="1">
      <c r="A129" s="14">
        <f t="shared" si="2"/>
        <v>125</v>
      </c>
      <c r="B129" s="15" t="s">
        <v>711</v>
      </c>
      <c r="C129" s="16" t="s">
        <v>608</v>
      </c>
      <c r="D129" s="16">
        <v>0.04</v>
      </c>
    </row>
    <row r="130" spans="1:4" ht="14.1" customHeight="1">
      <c r="A130" s="14">
        <f t="shared" si="2"/>
        <v>126</v>
      </c>
      <c r="B130" s="15" t="s">
        <v>712</v>
      </c>
      <c r="C130" s="16" t="s">
        <v>608</v>
      </c>
      <c r="D130" s="16">
        <v>7.5999999999999998E-2</v>
      </c>
    </row>
    <row r="131" spans="1:4" ht="14.1" customHeight="1">
      <c r="A131" s="14">
        <f t="shared" si="2"/>
        <v>127</v>
      </c>
      <c r="B131" s="15" t="s">
        <v>713</v>
      </c>
      <c r="C131" s="16" t="s">
        <v>608</v>
      </c>
      <c r="D131" s="16">
        <v>7.0999999999999994E-2</v>
      </c>
    </row>
    <row r="132" spans="1:4" ht="14.1" customHeight="1">
      <c r="A132" s="14">
        <f t="shared" si="2"/>
        <v>128</v>
      </c>
      <c r="B132" s="15" t="s">
        <v>714</v>
      </c>
      <c r="C132" s="16" t="s">
        <v>608</v>
      </c>
      <c r="D132" s="16">
        <v>8.1000000000000003E-2</v>
      </c>
    </row>
    <row r="133" spans="1:4" ht="14.1" customHeight="1">
      <c r="A133" s="14">
        <f t="shared" si="2"/>
        <v>129</v>
      </c>
      <c r="B133" s="15" t="s">
        <v>715</v>
      </c>
      <c r="C133" s="16" t="s">
        <v>608</v>
      </c>
      <c r="D133" s="16">
        <v>7.4999999999999997E-2</v>
      </c>
    </row>
    <row r="134" spans="1:4" ht="14.1" customHeight="1">
      <c r="A134" s="14">
        <f t="shared" si="2"/>
        <v>130</v>
      </c>
      <c r="B134" s="15" t="s">
        <v>716</v>
      </c>
      <c r="C134" s="16" t="s">
        <v>608</v>
      </c>
      <c r="D134" s="16">
        <v>6.9000000000000006E-2</v>
      </c>
    </row>
    <row r="135" spans="1:4" ht="14.1" customHeight="1">
      <c r="A135" s="14">
        <f t="shared" si="2"/>
        <v>131</v>
      </c>
      <c r="B135" s="15" t="s">
        <v>717</v>
      </c>
      <c r="C135" s="16" t="s">
        <v>608</v>
      </c>
      <c r="D135" s="16">
        <v>6.5000000000000002E-2</v>
      </c>
    </row>
    <row r="136" spans="1:4" ht="14.1" customHeight="1">
      <c r="A136" s="14">
        <f t="shared" si="2"/>
        <v>132</v>
      </c>
      <c r="B136" s="15" t="s">
        <v>718</v>
      </c>
      <c r="C136" s="16" t="s">
        <v>608</v>
      </c>
      <c r="D136" s="16">
        <v>7.2999999999999995E-2</v>
      </c>
    </row>
    <row r="137" spans="1:4" ht="14.1" customHeight="1">
      <c r="A137" s="14">
        <f t="shared" si="2"/>
        <v>133</v>
      </c>
      <c r="B137" s="15" t="s">
        <v>719</v>
      </c>
      <c r="C137" s="16" t="s">
        <v>608</v>
      </c>
      <c r="D137" s="16">
        <v>6.9000000000000006E-2</v>
      </c>
    </row>
    <row r="138" spans="1:4" ht="14.1" customHeight="1">
      <c r="A138" s="14">
        <f t="shared" si="2"/>
        <v>134</v>
      </c>
      <c r="B138" s="15" t="s">
        <v>1813</v>
      </c>
      <c r="C138" s="16" t="s">
        <v>608</v>
      </c>
      <c r="D138" s="16">
        <v>6.4000000000000001E-2</v>
      </c>
    </row>
    <row r="139" spans="1:4" ht="14.1" customHeight="1">
      <c r="A139" s="14">
        <f t="shared" si="2"/>
        <v>135</v>
      </c>
      <c r="B139" s="15" t="s">
        <v>1814</v>
      </c>
      <c r="C139" s="16" t="s">
        <v>608</v>
      </c>
      <c r="D139" s="16">
        <v>6.0999999999999999E-2</v>
      </c>
    </row>
    <row r="140" spans="1:4" ht="14.1" customHeight="1">
      <c r="A140" s="14">
        <f t="shared" si="2"/>
        <v>136</v>
      </c>
      <c r="B140" s="15" t="s">
        <v>1815</v>
      </c>
      <c r="C140" s="16" t="s">
        <v>608</v>
      </c>
      <c r="D140" s="16">
        <v>6.8000000000000005E-2</v>
      </c>
    </row>
    <row r="141" spans="1:4" ht="14.1" customHeight="1">
      <c r="A141" s="14">
        <f t="shared" si="2"/>
        <v>137</v>
      </c>
      <c r="B141" s="15" t="s">
        <v>1816</v>
      </c>
      <c r="C141" s="16" t="s">
        <v>608</v>
      </c>
      <c r="D141" s="16">
        <v>6.9000000000000006E-2</v>
      </c>
    </row>
    <row r="142" spans="1:4" ht="14.1" customHeight="1">
      <c r="A142" s="14">
        <f t="shared" si="2"/>
        <v>138</v>
      </c>
      <c r="B142" s="15" t="s">
        <v>1817</v>
      </c>
      <c r="C142" s="16" t="s">
        <v>608</v>
      </c>
      <c r="D142" s="16">
        <v>0.06</v>
      </c>
    </row>
    <row r="143" spans="1:4" ht="14.1" customHeight="1">
      <c r="A143" s="14">
        <f t="shared" ref="A143:A206" si="3">A142+1</f>
        <v>139</v>
      </c>
      <c r="B143" s="15" t="s">
        <v>1818</v>
      </c>
      <c r="C143" s="16" t="s">
        <v>608</v>
      </c>
      <c r="D143" s="16">
        <v>5.7000000000000002E-2</v>
      </c>
    </row>
    <row r="144" spans="1:4" ht="14.1" customHeight="1">
      <c r="A144" s="14">
        <f t="shared" si="3"/>
        <v>140</v>
      </c>
      <c r="B144" s="15" t="s">
        <v>1819</v>
      </c>
      <c r="C144" s="16" t="s">
        <v>608</v>
      </c>
      <c r="D144" s="16">
        <v>6.3E-2</v>
      </c>
    </row>
    <row r="145" spans="1:4" ht="14.1" customHeight="1">
      <c r="A145" s="14">
        <f t="shared" si="3"/>
        <v>141</v>
      </c>
      <c r="B145" s="15" t="s">
        <v>1820</v>
      </c>
      <c r="C145" s="16" t="s">
        <v>608</v>
      </c>
      <c r="D145" s="16">
        <v>5.8999999999999997E-2</v>
      </c>
    </row>
    <row r="146" spans="1:4" ht="14.1" customHeight="1">
      <c r="A146" s="14">
        <f t="shared" si="3"/>
        <v>142</v>
      </c>
      <c r="B146" s="15" t="s">
        <v>1821</v>
      </c>
      <c r="C146" s="16" t="s">
        <v>608</v>
      </c>
      <c r="D146" s="16">
        <v>5.6000000000000001E-2</v>
      </c>
    </row>
    <row r="147" spans="1:4" ht="14.1" customHeight="1">
      <c r="A147" s="14">
        <f t="shared" si="3"/>
        <v>143</v>
      </c>
      <c r="B147" s="15" t="s">
        <v>1822</v>
      </c>
      <c r="C147" s="16" t="s">
        <v>608</v>
      </c>
      <c r="D147" s="16">
        <v>5.2999999999999999E-2</v>
      </c>
    </row>
    <row r="148" spans="1:4" ht="14.1" customHeight="1">
      <c r="A148" s="14">
        <f t="shared" si="3"/>
        <v>144</v>
      </c>
      <c r="B148" s="15" t="s">
        <v>1823</v>
      </c>
      <c r="C148" s="16" t="s">
        <v>608</v>
      </c>
      <c r="D148" s="16">
        <v>5.8999999999999997E-2</v>
      </c>
    </row>
    <row r="149" spans="1:4" ht="14.1" customHeight="1">
      <c r="A149" s="14">
        <f t="shared" si="3"/>
        <v>145</v>
      </c>
      <c r="B149" s="15" t="s">
        <v>1824</v>
      </c>
      <c r="C149" s="16" t="s">
        <v>608</v>
      </c>
      <c r="D149" s="16">
        <v>5.6000000000000001E-2</v>
      </c>
    </row>
    <row r="150" spans="1:4" ht="14.1" customHeight="1">
      <c r="A150" s="14">
        <f t="shared" si="3"/>
        <v>146</v>
      </c>
      <c r="B150" s="15" t="s">
        <v>1825</v>
      </c>
      <c r="C150" s="16" t="s">
        <v>608</v>
      </c>
      <c r="D150" s="16">
        <v>5.2999999999999999E-2</v>
      </c>
    </row>
    <row r="151" spans="1:4" ht="14.1" customHeight="1">
      <c r="A151" s="14">
        <f t="shared" si="3"/>
        <v>147</v>
      </c>
      <c r="B151" s="15" t="s">
        <v>1826</v>
      </c>
      <c r="C151" s="16" t="s">
        <v>608</v>
      </c>
      <c r="D151" s="16">
        <v>5.0999999999999997E-2</v>
      </c>
    </row>
    <row r="152" spans="1:4" ht="14.1" customHeight="1">
      <c r="A152" s="14">
        <f t="shared" si="3"/>
        <v>148</v>
      </c>
      <c r="B152" s="15" t="s">
        <v>1827</v>
      </c>
      <c r="C152" s="16" t="s">
        <v>608</v>
      </c>
      <c r="D152" s="16">
        <v>5.5E-2</v>
      </c>
    </row>
    <row r="153" spans="1:4" ht="14.1" customHeight="1">
      <c r="A153" s="14">
        <f t="shared" si="3"/>
        <v>149</v>
      </c>
      <c r="B153" s="15" t="s">
        <v>1828</v>
      </c>
      <c r="C153" s="16" t="s">
        <v>608</v>
      </c>
      <c r="D153" s="16">
        <v>5.1999999999999998E-2</v>
      </c>
    </row>
    <row r="154" spans="1:4" ht="14.1" customHeight="1">
      <c r="A154" s="14">
        <f t="shared" si="3"/>
        <v>150</v>
      </c>
      <c r="B154" s="15" t="s">
        <v>1829</v>
      </c>
      <c r="C154" s="16" t="s">
        <v>608</v>
      </c>
      <c r="D154" s="16">
        <v>0.05</v>
      </c>
    </row>
    <row r="155" spans="1:4" ht="14.1" customHeight="1">
      <c r="A155" s="14">
        <f t="shared" si="3"/>
        <v>151</v>
      </c>
      <c r="B155" s="15" t="s">
        <v>1830</v>
      </c>
      <c r="C155" s="16" t="s">
        <v>608</v>
      </c>
      <c r="D155" s="16">
        <v>4.8000000000000001E-2</v>
      </c>
    </row>
    <row r="156" spans="1:4" ht="14.1" customHeight="1">
      <c r="A156" s="14">
        <f t="shared" si="3"/>
        <v>152</v>
      </c>
      <c r="B156" s="15" t="s">
        <v>1831</v>
      </c>
      <c r="C156" s="16" t="s">
        <v>608</v>
      </c>
      <c r="D156" s="16">
        <v>5.1999999999999998E-2</v>
      </c>
    </row>
    <row r="157" spans="1:4" ht="14.1" customHeight="1">
      <c r="A157" s="14">
        <f t="shared" si="3"/>
        <v>153</v>
      </c>
      <c r="B157" s="15" t="s">
        <v>1832</v>
      </c>
      <c r="C157" s="16" t="s">
        <v>608</v>
      </c>
      <c r="D157" s="16">
        <v>0.05</v>
      </c>
    </row>
    <row r="158" spans="1:4" ht="14.1" customHeight="1">
      <c r="A158" s="14">
        <f t="shared" si="3"/>
        <v>154</v>
      </c>
      <c r="B158" s="15" t="s">
        <v>1833</v>
      </c>
      <c r="C158" s="16" t="s">
        <v>608</v>
      </c>
      <c r="D158" s="16">
        <v>4.7E-2</v>
      </c>
    </row>
    <row r="159" spans="1:4" ht="14.1" customHeight="1">
      <c r="A159" s="14">
        <f t="shared" si="3"/>
        <v>155</v>
      </c>
      <c r="B159" s="15" t="s">
        <v>1834</v>
      </c>
      <c r="C159" s="16" t="s">
        <v>608</v>
      </c>
      <c r="D159" s="16">
        <v>4.5999999999999999E-2</v>
      </c>
    </row>
    <row r="160" spans="1:4" ht="14.1" customHeight="1">
      <c r="A160" s="14">
        <f t="shared" si="3"/>
        <v>156</v>
      </c>
      <c r="B160" s="15" t="s">
        <v>1835</v>
      </c>
      <c r="C160" s="16" t="s">
        <v>608</v>
      </c>
      <c r="D160" s="16">
        <v>4.9000000000000002E-2</v>
      </c>
    </row>
    <row r="161" spans="1:4" ht="14.1" customHeight="1">
      <c r="A161" s="14">
        <f t="shared" si="3"/>
        <v>157</v>
      </c>
      <c r="B161" s="15" t="s">
        <v>1836</v>
      </c>
      <c r="C161" s="16" t="s">
        <v>608</v>
      </c>
      <c r="D161" s="16">
        <v>4.7E-2</v>
      </c>
    </row>
    <row r="162" spans="1:4" ht="14.1" customHeight="1">
      <c r="A162" s="14">
        <f t="shared" si="3"/>
        <v>158</v>
      </c>
      <c r="B162" s="15" t="s">
        <v>1837</v>
      </c>
      <c r="C162" s="16" t="s">
        <v>608</v>
      </c>
      <c r="D162" s="16">
        <v>4.4999999999999998E-2</v>
      </c>
    </row>
    <row r="163" spans="1:4" ht="14.1" customHeight="1">
      <c r="A163" s="14">
        <f t="shared" si="3"/>
        <v>159</v>
      </c>
      <c r="B163" s="15" t="s">
        <v>1838</v>
      </c>
      <c r="C163" s="16" t="s">
        <v>608</v>
      </c>
      <c r="D163" s="16">
        <v>4.3999999999999997E-2</v>
      </c>
    </row>
    <row r="164" spans="1:4" ht="14.1" customHeight="1">
      <c r="A164" s="14">
        <f t="shared" si="3"/>
        <v>160</v>
      </c>
      <c r="B164" s="15" t="s">
        <v>1839</v>
      </c>
      <c r="C164" s="16" t="s">
        <v>608</v>
      </c>
      <c r="D164" s="16">
        <v>4.7E-2</v>
      </c>
    </row>
    <row r="165" spans="1:4" ht="14.1" customHeight="1">
      <c r="A165" s="14">
        <f t="shared" si="3"/>
        <v>161</v>
      </c>
      <c r="B165" s="15" t="s">
        <v>1840</v>
      </c>
      <c r="C165" s="16" t="s">
        <v>608</v>
      </c>
      <c r="D165" s="16">
        <v>4.4999999999999998E-2</v>
      </c>
    </row>
    <row r="166" spans="1:4" ht="14.1" customHeight="1">
      <c r="A166" s="14">
        <f t="shared" si="3"/>
        <v>162</v>
      </c>
      <c r="B166" s="15" t="s">
        <v>1841</v>
      </c>
      <c r="C166" s="16" t="s">
        <v>608</v>
      </c>
      <c r="D166" s="16">
        <v>4.2999999999999997E-2</v>
      </c>
    </row>
    <row r="167" spans="1:4" ht="14.1" customHeight="1">
      <c r="A167" s="14">
        <f t="shared" si="3"/>
        <v>163</v>
      </c>
      <c r="B167" s="15" t="s">
        <v>1842</v>
      </c>
      <c r="C167" s="16" t="s">
        <v>608</v>
      </c>
      <c r="D167" s="16">
        <v>4.2000000000000003E-2</v>
      </c>
    </row>
    <row r="168" spans="1:4" ht="14.1" customHeight="1">
      <c r="A168" s="14">
        <f t="shared" si="3"/>
        <v>164</v>
      </c>
      <c r="B168" s="15" t="s">
        <v>1843</v>
      </c>
      <c r="C168" s="16" t="s">
        <v>608</v>
      </c>
      <c r="D168" s="16">
        <v>4.3999999999999997E-2</v>
      </c>
    </row>
    <row r="169" spans="1:4" ht="14.1" customHeight="1">
      <c r="A169" s="14">
        <f t="shared" si="3"/>
        <v>165</v>
      </c>
      <c r="B169" s="15" t="s">
        <v>1844</v>
      </c>
      <c r="C169" s="16" t="s">
        <v>608</v>
      </c>
      <c r="D169" s="16">
        <v>4.2999999999999997E-2</v>
      </c>
    </row>
    <row r="170" spans="1:4" ht="14.1" customHeight="1">
      <c r="A170" s="14">
        <f t="shared" si="3"/>
        <v>166</v>
      </c>
      <c r="B170" s="15" t="s">
        <v>1845</v>
      </c>
      <c r="C170" s="16" t="s">
        <v>608</v>
      </c>
      <c r="D170" s="16">
        <v>4.1000000000000002E-2</v>
      </c>
    </row>
    <row r="171" spans="1:4" ht="14.1" customHeight="1">
      <c r="A171" s="14">
        <f t="shared" si="3"/>
        <v>167</v>
      </c>
      <c r="B171" s="15" t="s">
        <v>1846</v>
      </c>
      <c r="C171" s="16" t="s">
        <v>608</v>
      </c>
      <c r="D171" s="16">
        <v>0.04</v>
      </c>
    </row>
    <row r="172" spans="1:4" ht="14.1" customHeight="1">
      <c r="A172" s="14">
        <f t="shared" si="3"/>
        <v>168</v>
      </c>
      <c r="B172" s="15" t="s">
        <v>1847</v>
      </c>
      <c r="C172" s="16" t="s">
        <v>608</v>
      </c>
      <c r="D172" s="16">
        <v>4.2000000000000003E-2</v>
      </c>
    </row>
    <row r="173" spans="1:4" ht="14.1" customHeight="1">
      <c r="A173" s="14">
        <f t="shared" si="3"/>
        <v>169</v>
      </c>
      <c r="B173" s="15" t="s">
        <v>1848</v>
      </c>
      <c r="C173" s="16" t="s">
        <v>608</v>
      </c>
      <c r="D173" s="16">
        <v>4.1000000000000002E-2</v>
      </c>
    </row>
    <row r="174" spans="1:4" ht="14.1" customHeight="1">
      <c r="A174" s="14">
        <f t="shared" si="3"/>
        <v>170</v>
      </c>
      <c r="B174" s="15" t="s">
        <v>1849</v>
      </c>
      <c r="C174" s="16" t="s">
        <v>608</v>
      </c>
      <c r="D174" s="16">
        <v>3.9E-2</v>
      </c>
    </row>
    <row r="175" spans="1:4" ht="14.1" customHeight="1">
      <c r="A175" s="14">
        <f t="shared" si="3"/>
        <v>171</v>
      </c>
      <c r="B175" s="15" t="s">
        <v>1850</v>
      </c>
      <c r="C175" s="16" t="s">
        <v>608</v>
      </c>
      <c r="D175" s="16">
        <v>3.7999999999999999E-2</v>
      </c>
    </row>
    <row r="176" spans="1:4" ht="14.1" customHeight="1">
      <c r="A176" s="14">
        <f t="shared" si="3"/>
        <v>172</v>
      </c>
      <c r="B176" s="15" t="s">
        <v>1851</v>
      </c>
      <c r="C176" s="16" t="s">
        <v>608</v>
      </c>
      <c r="D176" s="16">
        <v>4.1000000000000002E-2</v>
      </c>
    </row>
    <row r="177" spans="1:4" ht="14.1" customHeight="1">
      <c r="A177" s="14">
        <f t="shared" si="3"/>
        <v>173</v>
      </c>
      <c r="B177" s="15" t="s">
        <v>1852</v>
      </c>
      <c r="C177" s="16" t="s">
        <v>608</v>
      </c>
      <c r="D177" s="16">
        <v>3.9E-2</v>
      </c>
    </row>
    <row r="178" spans="1:4" ht="14.1" customHeight="1">
      <c r="A178" s="14">
        <f t="shared" si="3"/>
        <v>174</v>
      </c>
      <c r="B178" s="15" t="s">
        <v>1853</v>
      </c>
      <c r="C178" s="16" t="s">
        <v>608</v>
      </c>
      <c r="D178" s="16">
        <v>3.7999999999999999E-2</v>
      </c>
    </row>
    <row r="179" spans="1:4" ht="14.1" customHeight="1">
      <c r="A179" s="14">
        <f t="shared" si="3"/>
        <v>175</v>
      </c>
      <c r="B179" s="15" t="s">
        <v>1854</v>
      </c>
      <c r="C179" s="16" t="s">
        <v>608</v>
      </c>
      <c r="D179" s="16">
        <v>3.6999999999999998E-2</v>
      </c>
    </row>
    <row r="180" spans="1:4" ht="14.1" customHeight="1">
      <c r="A180" s="14">
        <f t="shared" si="3"/>
        <v>176</v>
      </c>
      <c r="B180" s="15" t="s">
        <v>1855</v>
      </c>
      <c r="C180" s="16" t="s">
        <v>608</v>
      </c>
      <c r="D180" s="16">
        <v>3.9E-2</v>
      </c>
    </row>
    <row r="181" spans="1:4" ht="14.1" customHeight="1">
      <c r="A181" s="14">
        <f t="shared" si="3"/>
        <v>177</v>
      </c>
      <c r="B181" s="15" t="s">
        <v>1856</v>
      </c>
      <c r="C181" s="16" t="s">
        <v>608</v>
      </c>
      <c r="D181" s="16">
        <v>3.7999999999999999E-2</v>
      </c>
    </row>
    <row r="182" spans="1:4" ht="14.1" customHeight="1">
      <c r="A182" s="14">
        <f t="shared" si="3"/>
        <v>178</v>
      </c>
      <c r="B182" s="15" t="s">
        <v>1857</v>
      </c>
      <c r="C182" s="16" t="s">
        <v>608</v>
      </c>
      <c r="D182" s="16">
        <v>6.2E-2</v>
      </c>
    </row>
    <row r="183" spans="1:4" ht="14.1" customHeight="1">
      <c r="A183" s="14">
        <f t="shared" si="3"/>
        <v>179</v>
      </c>
      <c r="B183" s="15" t="s">
        <v>1858</v>
      </c>
      <c r="C183" s="16" t="s">
        <v>608</v>
      </c>
      <c r="D183" s="16">
        <v>5.8000000000000003E-2</v>
      </c>
    </row>
    <row r="184" spans="1:4" ht="14.1" customHeight="1">
      <c r="A184" s="14">
        <f t="shared" si="3"/>
        <v>180</v>
      </c>
      <c r="B184" s="15" t="s">
        <v>1859</v>
      </c>
      <c r="C184" s="16" t="s">
        <v>608</v>
      </c>
      <c r="D184" s="16">
        <v>5.5E-2</v>
      </c>
    </row>
    <row r="185" spans="1:4" ht="14.1" customHeight="1">
      <c r="A185" s="14">
        <f t="shared" si="3"/>
        <v>181</v>
      </c>
      <c r="B185" s="15" t="s">
        <v>1860</v>
      </c>
      <c r="C185" s="16" t="s">
        <v>608</v>
      </c>
      <c r="D185" s="16">
        <v>6.5000000000000002E-2</v>
      </c>
    </row>
    <row r="186" spans="1:4" ht="14.1" customHeight="1">
      <c r="A186" s="14">
        <f t="shared" si="3"/>
        <v>182</v>
      </c>
      <c r="B186" s="15" t="s">
        <v>1861</v>
      </c>
      <c r="C186" s="16" t="s">
        <v>608</v>
      </c>
      <c r="D186" s="16">
        <v>6.0999999999999999E-2</v>
      </c>
    </row>
    <row r="187" spans="1:4" ht="14.1" customHeight="1">
      <c r="A187" s="14">
        <f t="shared" si="3"/>
        <v>183</v>
      </c>
      <c r="B187" s="15" t="s">
        <v>1862</v>
      </c>
      <c r="C187" s="16" t="s">
        <v>608</v>
      </c>
      <c r="D187" s="16">
        <v>5.8000000000000003E-2</v>
      </c>
    </row>
    <row r="188" spans="1:4" ht="14.1" customHeight="1">
      <c r="A188" s="14">
        <f t="shared" si="3"/>
        <v>184</v>
      </c>
      <c r="B188" s="15" t="s">
        <v>1863</v>
      </c>
      <c r="C188" s="16" t="s">
        <v>608</v>
      </c>
      <c r="D188" s="16">
        <v>5.8000000000000003E-2</v>
      </c>
    </row>
    <row r="189" spans="1:4" ht="14.1" customHeight="1">
      <c r="A189" s="14">
        <f t="shared" si="3"/>
        <v>185</v>
      </c>
      <c r="B189" s="15" t="s">
        <v>1864</v>
      </c>
      <c r="C189" s="16" t="s">
        <v>608</v>
      </c>
      <c r="D189" s="16">
        <v>5.5E-2</v>
      </c>
    </row>
    <row r="190" spans="1:4" ht="14.1" customHeight="1">
      <c r="A190" s="14">
        <f t="shared" si="3"/>
        <v>186</v>
      </c>
      <c r="B190" s="15" t="s">
        <v>1865</v>
      </c>
      <c r="C190" s="16" t="s">
        <v>608</v>
      </c>
      <c r="D190" s="16">
        <v>5.1999999999999998E-2</v>
      </c>
    </row>
    <row r="191" spans="1:4" ht="14.1" customHeight="1">
      <c r="A191" s="14">
        <f t="shared" si="3"/>
        <v>187</v>
      </c>
      <c r="B191" s="15" t="s">
        <v>1866</v>
      </c>
      <c r="C191" s="16" t="s">
        <v>608</v>
      </c>
      <c r="D191" s="16">
        <v>0.06</v>
      </c>
    </row>
    <row r="192" spans="1:4" ht="14.1" customHeight="1">
      <c r="A192" s="14">
        <f t="shared" si="3"/>
        <v>188</v>
      </c>
      <c r="B192" s="15" t="s">
        <v>1867</v>
      </c>
      <c r="C192" s="16" t="s">
        <v>608</v>
      </c>
      <c r="D192" s="16">
        <v>5.7000000000000002E-2</v>
      </c>
    </row>
    <row r="193" spans="1:4" ht="14.1" customHeight="1">
      <c r="A193" s="14">
        <f t="shared" si="3"/>
        <v>189</v>
      </c>
      <c r="B193" s="15" t="s">
        <v>1868</v>
      </c>
      <c r="C193" s="16" t="s">
        <v>608</v>
      </c>
      <c r="D193" s="16">
        <v>5.5E-2</v>
      </c>
    </row>
    <row r="194" spans="1:4" ht="14.1" customHeight="1">
      <c r="A194" s="14">
        <f t="shared" si="3"/>
        <v>190</v>
      </c>
      <c r="B194" s="15" t="s">
        <v>1869</v>
      </c>
      <c r="C194" s="16" t="s">
        <v>608</v>
      </c>
      <c r="D194" s="16">
        <v>5.3999999999999999E-2</v>
      </c>
    </row>
    <row r="195" spans="1:4" ht="14.1" customHeight="1">
      <c r="A195" s="14">
        <f t="shared" si="3"/>
        <v>191</v>
      </c>
      <c r="B195" s="15" t="s">
        <v>1870</v>
      </c>
      <c r="C195" s="16" t="s">
        <v>608</v>
      </c>
      <c r="D195" s="16">
        <v>5.1999999999999998E-2</v>
      </c>
    </row>
    <row r="196" spans="1:4" ht="14.1" customHeight="1">
      <c r="A196" s="14">
        <f t="shared" si="3"/>
        <v>192</v>
      </c>
      <c r="B196" s="15" t="s">
        <v>1871</v>
      </c>
      <c r="C196" s="16" t="s">
        <v>608</v>
      </c>
      <c r="D196" s="16">
        <v>0.05</v>
      </c>
    </row>
    <row r="197" spans="1:4" ht="14.1" customHeight="1">
      <c r="A197" s="14">
        <f t="shared" si="3"/>
        <v>193</v>
      </c>
      <c r="B197" s="15" t="s">
        <v>1872</v>
      </c>
      <c r="C197" s="16" t="s">
        <v>608</v>
      </c>
      <c r="D197" s="16">
        <v>5.6000000000000001E-2</v>
      </c>
    </row>
    <row r="198" spans="1:4" ht="14.1" customHeight="1">
      <c r="A198" s="14">
        <f t="shared" si="3"/>
        <v>194</v>
      </c>
      <c r="B198" s="15" t="s">
        <v>1873</v>
      </c>
      <c r="C198" s="16" t="s">
        <v>608</v>
      </c>
      <c r="D198" s="16">
        <v>5.3999999999999999E-2</v>
      </c>
    </row>
    <row r="199" spans="1:4" ht="14.1" customHeight="1">
      <c r="A199" s="14">
        <f t="shared" si="3"/>
        <v>195</v>
      </c>
      <c r="B199" s="15" t="s">
        <v>1874</v>
      </c>
      <c r="C199" s="16" t="s">
        <v>608</v>
      </c>
      <c r="D199" s="16">
        <v>5.0999999999999997E-2</v>
      </c>
    </row>
    <row r="200" spans="1:4" ht="14.1" customHeight="1">
      <c r="A200" s="14">
        <f t="shared" si="3"/>
        <v>196</v>
      </c>
      <c r="B200" s="15" t="s">
        <v>1875</v>
      </c>
      <c r="C200" s="16" t="s">
        <v>608</v>
      </c>
      <c r="D200" s="16">
        <v>5.0999999999999997E-2</v>
      </c>
    </row>
    <row r="201" spans="1:4" ht="14.1" customHeight="1">
      <c r="A201" s="14">
        <f t="shared" si="3"/>
        <v>197</v>
      </c>
      <c r="B201" s="15" t="s">
        <v>1876</v>
      </c>
      <c r="C201" s="16" t="s">
        <v>608</v>
      </c>
      <c r="D201" s="16">
        <v>4.9000000000000002E-2</v>
      </c>
    </row>
    <row r="202" spans="1:4" ht="14.1" customHeight="1">
      <c r="A202" s="14">
        <f t="shared" si="3"/>
        <v>198</v>
      </c>
      <c r="B202" s="15" t="s">
        <v>1877</v>
      </c>
      <c r="C202" s="16" t="s">
        <v>608</v>
      </c>
      <c r="D202" s="16">
        <v>4.7E-2</v>
      </c>
    </row>
    <row r="203" spans="1:4" ht="14.1" customHeight="1">
      <c r="A203" s="14">
        <f t="shared" si="3"/>
        <v>199</v>
      </c>
      <c r="B203" s="15" t="s">
        <v>808</v>
      </c>
      <c r="C203" s="16" t="s">
        <v>608</v>
      </c>
      <c r="D203" s="16">
        <v>5.2999999999999999E-2</v>
      </c>
    </row>
    <row r="204" spans="1:4" ht="14.1" customHeight="1">
      <c r="A204" s="14">
        <f t="shared" si="3"/>
        <v>200</v>
      </c>
      <c r="B204" s="15" t="s">
        <v>809</v>
      </c>
      <c r="C204" s="16" t="s">
        <v>608</v>
      </c>
      <c r="D204" s="16">
        <v>5.0999999999999997E-2</v>
      </c>
    </row>
    <row r="205" spans="1:4" ht="14.1" customHeight="1">
      <c r="A205" s="14">
        <f t="shared" si="3"/>
        <v>201</v>
      </c>
      <c r="B205" s="15" t="s">
        <v>810</v>
      </c>
      <c r="C205" s="16" t="s">
        <v>608</v>
      </c>
      <c r="D205" s="16">
        <v>4.9000000000000002E-2</v>
      </c>
    </row>
    <row r="206" spans="1:4" ht="14.1" customHeight="1">
      <c r="A206" s="14">
        <f t="shared" si="3"/>
        <v>202</v>
      </c>
      <c r="B206" s="15" t="s">
        <v>811</v>
      </c>
      <c r="C206" s="16" t="s">
        <v>608</v>
      </c>
      <c r="D206" s="16">
        <v>4.8000000000000001E-2</v>
      </c>
    </row>
    <row r="207" spans="1:4" ht="14.1" customHeight="1">
      <c r="A207" s="14">
        <f t="shared" ref="A207:A271" si="4">A206+1</f>
        <v>203</v>
      </c>
      <c r="B207" s="15" t="s">
        <v>812</v>
      </c>
      <c r="C207" s="16" t="s">
        <v>608</v>
      </c>
      <c r="D207" s="16">
        <v>4.5999999999999999E-2</v>
      </c>
    </row>
    <row r="208" spans="1:4" ht="14.1" customHeight="1">
      <c r="A208" s="14">
        <f t="shared" si="4"/>
        <v>204</v>
      </c>
      <c r="B208" s="15" t="s">
        <v>813</v>
      </c>
      <c r="C208" s="16" t="s">
        <v>608</v>
      </c>
      <c r="D208" s="16">
        <v>4.4999999999999998E-2</v>
      </c>
    </row>
    <row r="209" spans="1:4" ht="14.1" customHeight="1">
      <c r="A209" s="14">
        <f t="shared" si="4"/>
        <v>205</v>
      </c>
      <c r="B209" s="15" t="s">
        <v>814</v>
      </c>
      <c r="C209" s="16" t="s">
        <v>608</v>
      </c>
      <c r="D209" s="16">
        <v>0.05</v>
      </c>
    </row>
    <row r="210" spans="1:4" ht="14.1" customHeight="1">
      <c r="A210" s="14">
        <f t="shared" si="4"/>
        <v>206</v>
      </c>
      <c r="B210" s="15" t="s">
        <v>815</v>
      </c>
      <c r="C210" s="16" t="s">
        <v>608</v>
      </c>
      <c r="D210" s="16">
        <v>4.8000000000000001E-2</v>
      </c>
    </row>
    <row r="211" spans="1:4" ht="14.1" customHeight="1">
      <c r="A211" s="14">
        <f t="shared" si="4"/>
        <v>207</v>
      </c>
      <c r="B211" s="15" t="s">
        <v>816</v>
      </c>
      <c r="C211" s="16" t="s">
        <v>608</v>
      </c>
      <c r="D211" s="16">
        <v>4.5999999999999999E-2</v>
      </c>
    </row>
    <row r="212" spans="1:4" ht="14.1" customHeight="1">
      <c r="A212" s="14">
        <f t="shared" si="4"/>
        <v>208</v>
      </c>
      <c r="B212" s="15" t="s">
        <v>817</v>
      </c>
      <c r="C212" s="16" t="s">
        <v>608</v>
      </c>
      <c r="D212" s="16">
        <v>4.5999999999999999E-2</v>
      </c>
    </row>
    <row r="213" spans="1:4" ht="14.1" customHeight="1">
      <c r="A213" s="14">
        <f t="shared" si="4"/>
        <v>209</v>
      </c>
      <c r="B213" s="15" t="s">
        <v>818</v>
      </c>
      <c r="C213" s="16" t="s">
        <v>608</v>
      </c>
      <c r="D213" s="16">
        <v>4.3999999999999997E-2</v>
      </c>
    </row>
    <row r="214" spans="1:4" ht="14.1" customHeight="1">
      <c r="A214" s="14">
        <f t="shared" si="4"/>
        <v>210</v>
      </c>
      <c r="B214" s="15" t="s">
        <v>819</v>
      </c>
      <c r="C214" s="16" t="s">
        <v>608</v>
      </c>
      <c r="D214" s="16">
        <v>4.2999999999999997E-2</v>
      </c>
    </row>
    <row r="215" spans="1:4" ht="14.1" customHeight="1">
      <c r="A215" s="14">
        <f t="shared" si="4"/>
        <v>211</v>
      </c>
      <c r="B215" s="15" t="s">
        <v>820</v>
      </c>
      <c r="C215" s="16" t="s">
        <v>608</v>
      </c>
      <c r="D215" s="16">
        <v>4.8000000000000001E-2</v>
      </c>
    </row>
    <row r="216" spans="1:4" ht="14.1" customHeight="1">
      <c r="A216" s="14">
        <f t="shared" si="4"/>
        <v>212</v>
      </c>
      <c r="B216" s="15" t="s">
        <v>821</v>
      </c>
      <c r="C216" s="16" t="s">
        <v>608</v>
      </c>
      <c r="D216" s="16">
        <v>4.5999999999999999E-2</v>
      </c>
    </row>
    <row r="217" spans="1:4" ht="14.1" customHeight="1">
      <c r="A217" s="14">
        <f t="shared" si="4"/>
        <v>213</v>
      </c>
      <c r="B217" s="15" t="s">
        <v>822</v>
      </c>
      <c r="C217" s="16" t="s">
        <v>608</v>
      </c>
      <c r="D217" s="16">
        <v>4.3999999999999997E-2</v>
      </c>
    </row>
    <row r="218" spans="1:4" ht="14.1" customHeight="1">
      <c r="A218" s="14">
        <f t="shared" si="4"/>
        <v>214</v>
      </c>
      <c r="B218" s="15" t="s">
        <v>823</v>
      </c>
      <c r="C218" s="16" t="s">
        <v>608</v>
      </c>
      <c r="D218" s="16">
        <v>4.3999999999999997E-2</v>
      </c>
    </row>
    <row r="219" spans="1:4" ht="14.1" customHeight="1">
      <c r="A219" s="14">
        <f t="shared" si="4"/>
        <v>215</v>
      </c>
      <c r="B219" s="15" t="s">
        <v>824</v>
      </c>
      <c r="C219" s="16" t="s">
        <v>608</v>
      </c>
      <c r="D219" s="16">
        <v>4.2000000000000003E-2</v>
      </c>
    </row>
    <row r="220" spans="1:4" ht="14.1" customHeight="1">
      <c r="A220" s="14">
        <f t="shared" si="4"/>
        <v>216</v>
      </c>
      <c r="B220" s="15" t="s">
        <v>825</v>
      </c>
      <c r="C220" s="16" t="s">
        <v>608</v>
      </c>
      <c r="D220" s="16">
        <v>4.1000000000000002E-2</v>
      </c>
    </row>
    <row r="221" spans="1:4" ht="14.1" customHeight="1">
      <c r="A221" s="14">
        <f t="shared" si="4"/>
        <v>217</v>
      </c>
      <c r="B221" s="15" t="s">
        <v>826</v>
      </c>
      <c r="C221" s="16" t="s">
        <v>608</v>
      </c>
      <c r="D221" s="16">
        <v>4.4999999999999998E-2</v>
      </c>
    </row>
    <row r="222" spans="1:4" ht="14.1" customHeight="1">
      <c r="A222" s="14">
        <f t="shared" si="4"/>
        <v>218</v>
      </c>
      <c r="B222" s="15" t="s">
        <v>827</v>
      </c>
      <c r="C222" s="16" t="s">
        <v>608</v>
      </c>
      <c r="D222" s="16">
        <v>4.3999999999999997E-2</v>
      </c>
    </row>
    <row r="223" spans="1:4" ht="14.1" customHeight="1">
      <c r="A223" s="14">
        <f t="shared" si="4"/>
        <v>219</v>
      </c>
      <c r="B223" s="15" t="s">
        <v>828</v>
      </c>
      <c r="C223" s="16" t="s">
        <v>608</v>
      </c>
      <c r="D223" s="16">
        <v>4.2000000000000003E-2</v>
      </c>
    </row>
    <row r="224" spans="1:4" ht="14.1" customHeight="1">
      <c r="A224" s="14">
        <f t="shared" si="4"/>
        <v>220</v>
      </c>
      <c r="B224" s="15" t="s">
        <v>829</v>
      </c>
      <c r="C224" s="16" t="s">
        <v>608</v>
      </c>
      <c r="D224" s="16">
        <v>4.2000000000000003E-2</v>
      </c>
    </row>
    <row r="225" spans="1:4" ht="14.1" customHeight="1">
      <c r="A225" s="14">
        <f t="shared" si="4"/>
        <v>221</v>
      </c>
      <c r="B225" s="15" t="s">
        <v>830</v>
      </c>
      <c r="C225" s="16" t="s">
        <v>608</v>
      </c>
      <c r="D225" s="16">
        <v>0.04</v>
      </c>
    </row>
    <row r="226" spans="1:4" ht="14.1" customHeight="1">
      <c r="A226" s="14">
        <f t="shared" si="4"/>
        <v>222</v>
      </c>
      <c r="B226" s="15" t="s">
        <v>831</v>
      </c>
      <c r="C226" s="16" t="s">
        <v>608</v>
      </c>
      <c r="D226" s="16">
        <v>3.9E-2</v>
      </c>
    </row>
    <row r="227" spans="1:4" ht="14.1" customHeight="1">
      <c r="A227" s="14">
        <f t="shared" si="4"/>
        <v>223</v>
      </c>
      <c r="B227" s="15" t="s">
        <v>832</v>
      </c>
      <c r="C227" s="16" t="s">
        <v>608</v>
      </c>
      <c r="D227" s="16">
        <v>4.2999999999999997E-2</v>
      </c>
    </row>
    <row r="228" spans="1:4" ht="14.1" customHeight="1">
      <c r="A228" s="14">
        <f t="shared" si="4"/>
        <v>224</v>
      </c>
      <c r="B228" s="15" t="s">
        <v>833</v>
      </c>
      <c r="C228" s="16" t="s">
        <v>608</v>
      </c>
      <c r="D228" s="16">
        <v>4.2000000000000003E-2</v>
      </c>
    </row>
    <row r="229" spans="1:4" ht="14.1" customHeight="1">
      <c r="A229" s="14">
        <f t="shared" si="4"/>
        <v>225</v>
      </c>
      <c r="B229" s="15" t="s">
        <v>834</v>
      </c>
      <c r="C229" s="16" t="s">
        <v>608</v>
      </c>
      <c r="D229" s="16">
        <v>0.04</v>
      </c>
    </row>
    <row r="230" spans="1:4" ht="14.1" customHeight="1">
      <c r="A230" s="14">
        <f t="shared" si="4"/>
        <v>226</v>
      </c>
      <c r="B230" s="15" t="s">
        <v>835</v>
      </c>
      <c r="C230" s="16" t="s">
        <v>608</v>
      </c>
      <c r="D230" s="16">
        <v>0.04</v>
      </c>
    </row>
    <row r="231" spans="1:4" ht="14.1" customHeight="1">
      <c r="A231" s="14">
        <f t="shared" si="4"/>
        <v>227</v>
      </c>
      <c r="B231" s="15" t="s">
        <v>836</v>
      </c>
      <c r="C231" s="16" t="s">
        <v>608</v>
      </c>
      <c r="D231" s="16">
        <v>3.9E-2</v>
      </c>
    </row>
    <row r="232" spans="1:4" ht="14.1" customHeight="1">
      <c r="A232" s="14">
        <f t="shared" si="4"/>
        <v>228</v>
      </c>
      <c r="B232" s="15" t="s">
        <v>837</v>
      </c>
      <c r="C232" s="16" t="s">
        <v>608</v>
      </c>
      <c r="D232" s="16">
        <v>3.7999999999999999E-2</v>
      </c>
    </row>
    <row r="233" spans="1:4" ht="14.1" customHeight="1">
      <c r="A233" s="14">
        <f t="shared" si="4"/>
        <v>229</v>
      </c>
      <c r="B233" s="15" t="s">
        <v>838</v>
      </c>
      <c r="C233" s="16" t="s">
        <v>608</v>
      </c>
      <c r="D233" s="16">
        <v>4.1000000000000002E-2</v>
      </c>
    </row>
    <row r="234" spans="1:4" ht="14.1" customHeight="1">
      <c r="A234" s="14">
        <f t="shared" si="4"/>
        <v>230</v>
      </c>
      <c r="B234" s="15" t="s">
        <v>839</v>
      </c>
      <c r="C234" s="16" t="s">
        <v>608</v>
      </c>
      <c r="D234" s="16">
        <v>0.04</v>
      </c>
    </row>
    <row r="235" spans="1:4" ht="14.1" customHeight="1">
      <c r="A235" s="14">
        <f t="shared" si="4"/>
        <v>231</v>
      </c>
      <c r="B235" s="15" t="s">
        <v>840</v>
      </c>
      <c r="C235" s="16" t="s">
        <v>608</v>
      </c>
      <c r="D235" s="16">
        <v>3.9E-2</v>
      </c>
    </row>
    <row r="236" spans="1:4" ht="14.1" customHeight="1">
      <c r="A236" s="14">
        <f t="shared" si="4"/>
        <v>232</v>
      </c>
      <c r="B236" s="15" t="s">
        <v>841</v>
      </c>
      <c r="C236" s="16" t="s">
        <v>608</v>
      </c>
      <c r="D236" s="16">
        <v>3.7999999999999999E-2</v>
      </c>
    </row>
    <row r="237" spans="1:4" ht="14.1" customHeight="1">
      <c r="A237" s="14">
        <f t="shared" si="4"/>
        <v>233</v>
      </c>
      <c r="B237" s="15" t="s">
        <v>842</v>
      </c>
      <c r="C237" s="16" t="s">
        <v>608</v>
      </c>
      <c r="D237" s="16">
        <v>3.6999999999999998E-2</v>
      </c>
    </row>
    <row r="238" spans="1:4" ht="14.1" customHeight="1">
      <c r="A238" s="14">
        <f t="shared" si="4"/>
        <v>234</v>
      </c>
      <c r="B238" s="15" t="s">
        <v>843</v>
      </c>
      <c r="C238" s="16" t="s">
        <v>608</v>
      </c>
      <c r="D238" s="16">
        <v>3.5000000000000003E-2</v>
      </c>
    </row>
    <row r="239" spans="1:4" ht="14.1" customHeight="1">
      <c r="A239" s="14">
        <f t="shared" si="4"/>
        <v>235</v>
      </c>
      <c r="B239" s="15" t="s">
        <v>844</v>
      </c>
      <c r="C239" s="16" t="s">
        <v>608</v>
      </c>
      <c r="D239" s="16">
        <v>3.9E-2</v>
      </c>
    </row>
    <row r="240" spans="1:4" ht="14.1" customHeight="1">
      <c r="A240" s="14">
        <f t="shared" si="4"/>
        <v>236</v>
      </c>
      <c r="B240" s="15" t="s">
        <v>845</v>
      </c>
      <c r="C240" s="16" t="s">
        <v>608</v>
      </c>
      <c r="D240" s="16">
        <v>3.7999999999999999E-2</v>
      </c>
    </row>
    <row r="241" spans="1:4" ht="14.1" customHeight="1">
      <c r="A241" s="14">
        <f t="shared" si="4"/>
        <v>237</v>
      </c>
      <c r="B241" s="15" t="s">
        <v>846</v>
      </c>
      <c r="C241" s="16" t="s">
        <v>608</v>
      </c>
      <c r="D241" s="16">
        <v>3.6999999999999998E-2</v>
      </c>
    </row>
    <row r="242" spans="1:4" ht="14.1" customHeight="1">
      <c r="A242" s="14">
        <f t="shared" si="4"/>
        <v>238</v>
      </c>
      <c r="B242" s="15" t="s">
        <v>847</v>
      </c>
      <c r="C242" s="16" t="s">
        <v>608</v>
      </c>
      <c r="D242" s="16">
        <v>3.6999999999999998E-2</v>
      </c>
    </row>
    <row r="243" spans="1:4" ht="14.1" customHeight="1">
      <c r="A243" s="14">
        <f t="shared" si="4"/>
        <v>239</v>
      </c>
      <c r="B243" s="15" t="s">
        <v>848</v>
      </c>
      <c r="C243" s="16" t="s">
        <v>608</v>
      </c>
      <c r="D243" s="16">
        <v>3.5999999999999997E-2</v>
      </c>
    </row>
    <row r="244" spans="1:4" ht="14.1" customHeight="1">
      <c r="A244" s="14">
        <f t="shared" si="4"/>
        <v>240</v>
      </c>
      <c r="B244" s="15" t="s">
        <v>849</v>
      </c>
      <c r="C244" s="16" t="s">
        <v>608</v>
      </c>
      <c r="D244" s="16">
        <v>3.5000000000000003E-2</v>
      </c>
    </row>
    <row r="245" spans="1:4" ht="14.1" customHeight="1">
      <c r="A245" s="14">
        <f t="shared" si="4"/>
        <v>241</v>
      </c>
      <c r="B245" s="15" t="s">
        <v>850</v>
      </c>
      <c r="C245" s="16" t="s">
        <v>608</v>
      </c>
      <c r="D245" s="16">
        <v>3.7999999999999999E-2</v>
      </c>
    </row>
    <row r="246" spans="1:4" ht="14.1" customHeight="1">
      <c r="A246" s="14">
        <f t="shared" si="4"/>
        <v>242</v>
      </c>
      <c r="B246" s="15" t="s">
        <v>851</v>
      </c>
      <c r="C246" s="16" t="s">
        <v>608</v>
      </c>
      <c r="D246" s="16">
        <v>3.6999999999999998E-2</v>
      </c>
    </row>
    <row r="247" spans="1:4" ht="14.1" customHeight="1">
      <c r="A247" s="14">
        <f t="shared" si="4"/>
        <v>243</v>
      </c>
      <c r="B247" s="15" t="s">
        <v>852</v>
      </c>
      <c r="C247" s="16" t="s">
        <v>608</v>
      </c>
      <c r="D247" s="16">
        <v>3.5999999999999997E-2</v>
      </c>
    </row>
    <row r="248" spans="1:4" ht="14.1" customHeight="1">
      <c r="A248" s="14">
        <f t="shared" si="4"/>
        <v>244</v>
      </c>
      <c r="B248" s="15" t="s">
        <v>853</v>
      </c>
      <c r="C248" s="16" t="s">
        <v>608</v>
      </c>
      <c r="D248" s="16">
        <v>3.5999999999999997E-2</v>
      </c>
    </row>
    <row r="249" spans="1:4" ht="14.1" customHeight="1">
      <c r="A249" s="14">
        <f t="shared" si="4"/>
        <v>245</v>
      </c>
      <c r="B249" s="15" t="s">
        <v>854</v>
      </c>
      <c r="C249" s="16" t="s">
        <v>608</v>
      </c>
      <c r="D249" s="16">
        <v>3.5000000000000003E-2</v>
      </c>
    </row>
    <row r="250" spans="1:4" ht="14.1" customHeight="1">
      <c r="A250" s="14">
        <f t="shared" si="4"/>
        <v>246</v>
      </c>
      <c r="B250" s="15" t="s">
        <v>855</v>
      </c>
      <c r="C250" s="16" t="s">
        <v>608</v>
      </c>
      <c r="D250" s="16">
        <v>3.4000000000000002E-2</v>
      </c>
    </row>
    <row r="251" spans="1:4" ht="14.1" customHeight="1">
      <c r="A251" s="14">
        <f t="shared" si="4"/>
        <v>247</v>
      </c>
      <c r="B251" s="15" t="s">
        <v>856</v>
      </c>
      <c r="C251" s="16" t="s">
        <v>608</v>
      </c>
      <c r="D251" s="16">
        <v>3.5999999999999997E-2</v>
      </c>
    </row>
    <row r="252" spans="1:4" ht="14.1" customHeight="1">
      <c r="A252" s="14">
        <f t="shared" si="4"/>
        <v>248</v>
      </c>
      <c r="B252" s="15" t="s">
        <v>857</v>
      </c>
      <c r="C252" s="16" t="s">
        <v>608</v>
      </c>
      <c r="D252" s="16">
        <v>3.5000000000000003E-2</v>
      </c>
    </row>
    <row r="253" spans="1:4" ht="14.1" customHeight="1">
      <c r="A253" s="14">
        <f t="shared" si="4"/>
        <v>249</v>
      </c>
      <c r="B253" s="15" t="s">
        <v>858</v>
      </c>
      <c r="C253" s="16" t="s">
        <v>608</v>
      </c>
      <c r="D253" s="16">
        <v>3.5000000000000003E-2</v>
      </c>
    </row>
    <row r="254" spans="1:4" ht="14.1" customHeight="1">
      <c r="A254" s="14">
        <f t="shared" si="4"/>
        <v>250</v>
      </c>
      <c r="B254" s="15" t="s">
        <v>859</v>
      </c>
      <c r="C254" s="16" t="s">
        <v>608</v>
      </c>
      <c r="D254" s="16">
        <v>3.4000000000000002E-2</v>
      </c>
    </row>
    <row r="255" spans="1:4" ht="14.1" customHeight="1">
      <c r="A255" s="14">
        <f t="shared" si="4"/>
        <v>251</v>
      </c>
      <c r="B255" s="15" t="s">
        <v>860</v>
      </c>
      <c r="C255" s="16" t="s">
        <v>608</v>
      </c>
      <c r="D255" s="16">
        <v>3.3000000000000002E-2</v>
      </c>
    </row>
    <row r="256" spans="1:4" ht="14.1" customHeight="1">
      <c r="A256" s="14">
        <f t="shared" si="4"/>
        <v>252</v>
      </c>
      <c r="B256" s="15" t="s">
        <v>861</v>
      </c>
      <c r="C256" s="16" t="s">
        <v>608</v>
      </c>
      <c r="D256" s="16">
        <v>3.3000000000000002E-2</v>
      </c>
    </row>
    <row r="257" spans="1:4" ht="14.1" customHeight="1">
      <c r="A257" s="14">
        <f t="shared" si="4"/>
        <v>253</v>
      </c>
      <c r="B257" s="15" t="s">
        <v>862</v>
      </c>
      <c r="C257" s="16" t="s">
        <v>608</v>
      </c>
      <c r="D257" s="16">
        <v>3.5000000000000003E-2</v>
      </c>
    </row>
    <row r="258" spans="1:4" ht="14.1" customHeight="1">
      <c r="A258" s="14">
        <f t="shared" si="4"/>
        <v>254</v>
      </c>
      <c r="B258" s="15" t="s">
        <v>863</v>
      </c>
      <c r="C258" s="16" t="s">
        <v>608</v>
      </c>
      <c r="D258" s="16">
        <v>3.4000000000000002E-2</v>
      </c>
    </row>
    <row r="259" spans="1:4" ht="14.1" customHeight="1">
      <c r="A259" s="14">
        <f t="shared" si="4"/>
        <v>255</v>
      </c>
      <c r="B259" s="15" t="s">
        <v>864</v>
      </c>
      <c r="C259" s="16" t="s">
        <v>608</v>
      </c>
      <c r="D259" s="16">
        <v>3.3000000000000002E-2</v>
      </c>
    </row>
    <row r="260" spans="1:4" ht="14.1" customHeight="1">
      <c r="A260" s="14">
        <f t="shared" si="4"/>
        <v>256</v>
      </c>
      <c r="B260" s="77" t="s">
        <v>2905</v>
      </c>
      <c r="D260" s="16">
        <v>4.4999999999999998E-2</v>
      </c>
    </row>
    <row r="261" spans="1:4" ht="14.1" customHeight="1">
      <c r="A261" s="14">
        <f t="shared" si="4"/>
        <v>257</v>
      </c>
      <c r="B261" s="15" t="s">
        <v>865</v>
      </c>
      <c r="C261" s="16" t="s">
        <v>608</v>
      </c>
      <c r="D261" s="16">
        <v>5.7000000000000002E-2</v>
      </c>
    </row>
    <row r="262" spans="1:4" ht="14.1" customHeight="1">
      <c r="A262" s="14">
        <f t="shared" si="4"/>
        <v>258</v>
      </c>
      <c r="B262" s="15" t="s">
        <v>866</v>
      </c>
      <c r="C262" s="16" t="s">
        <v>608</v>
      </c>
      <c r="D262" s="16">
        <v>5.3999999999999999E-2</v>
      </c>
    </row>
    <row r="263" spans="1:4" ht="14.1" customHeight="1">
      <c r="A263" s="14">
        <f t="shared" si="4"/>
        <v>259</v>
      </c>
      <c r="B263" s="15" t="s">
        <v>867</v>
      </c>
      <c r="C263" s="16" t="s">
        <v>608</v>
      </c>
      <c r="D263" s="16">
        <v>5.0999999999999997E-2</v>
      </c>
    </row>
    <row r="264" spans="1:4" ht="14.1" customHeight="1">
      <c r="A264" s="14">
        <f t="shared" si="4"/>
        <v>260</v>
      </c>
      <c r="B264" s="15" t="s">
        <v>868</v>
      </c>
      <c r="C264" s="16" t="s">
        <v>608</v>
      </c>
      <c r="D264" s="16">
        <v>0.06</v>
      </c>
    </row>
    <row r="265" spans="1:4" ht="14.1" customHeight="1">
      <c r="A265" s="14">
        <f t="shared" si="4"/>
        <v>261</v>
      </c>
      <c r="B265" s="15" t="s">
        <v>869</v>
      </c>
      <c r="C265" s="16" t="s">
        <v>608</v>
      </c>
      <c r="D265" s="16">
        <v>5.6000000000000001E-2</v>
      </c>
    </row>
    <row r="266" spans="1:4" ht="14.1" customHeight="1">
      <c r="A266" s="14">
        <f t="shared" si="4"/>
        <v>262</v>
      </c>
      <c r="B266" s="15" t="s">
        <v>870</v>
      </c>
      <c r="C266" s="16" t="s">
        <v>608</v>
      </c>
      <c r="D266" s="16">
        <v>5.2999999999999999E-2</v>
      </c>
    </row>
    <row r="267" spans="1:4" ht="14.1" customHeight="1">
      <c r="A267" s="14">
        <f t="shared" si="4"/>
        <v>263</v>
      </c>
      <c r="B267" s="15" t="s">
        <v>871</v>
      </c>
      <c r="C267" s="16" t="s">
        <v>608</v>
      </c>
      <c r="D267" s="16">
        <v>5.3999999999999999E-2</v>
      </c>
    </row>
    <row r="268" spans="1:4" ht="14.1" customHeight="1">
      <c r="A268" s="14">
        <f t="shared" si="4"/>
        <v>264</v>
      </c>
      <c r="B268" s="15" t="s">
        <v>872</v>
      </c>
      <c r="C268" s="16" t="s">
        <v>608</v>
      </c>
      <c r="D268" s="16">
        <v>5.0999999999999997E-2</v>
      </c>
    </row>
    <row r="269" spans="1:4" ht="14.1" customHeight="1">
      <c r="A269" s="14">
        <f t="shared" si="4"/>
        <v>265</v>
      </c>
      <c r="B269" s="15" t="s">
        <v>873</v>
      </c>
      <c r="C269" s="16" t="s">
        <v>608</v>
      </c>
      <c r="D269" s="16">
        <v>4.8000000000000001E-2</v>
      </c>
    </row>
    <row r="270" spans="1:4" ht="14.1" customHeight="1">
      <c r="A270" s="14">
        <f t="shared" si="4"/>
        <v>266</v>
      </c>
      <c r="B270" s="15" t="s">
        <v>874</v>
      </c>
      <c r="C270" s="16" t="s">
        <v>608</v>
      </c>
      <c r="D270" s="16">
        <v>5.6000000000000001E-2</v>
      </c>
    </row>
    <row r="271" spans="1:4" ht="14.1" customHeight="1">
      <c r="A271" s="14">
        <f t="shared" si="4"/>
        <v>267</v>
      </c>
      <c r="B271" s="15" t="s">
        <v>875</v>
      </c>
      <c r="C271" s="16" t="s">
        <v>608</v>
      </c>
      <c r="D271" s="16">
        <v>5.2999999999999999E-2</v>
      </c>
    </row>
    <row r="272" spans="1:4" ht="14.1" customHeight="1">
      <c r="A272" s="14">
        <f t="shared" ref="A272:A335" si="5">A271+1</f>
        <v>268</v>
      </c>
      <c r="B272" s="15" t="s">
        <v>876</v>
      </c>
      <c r="C272" s="16" t="s">
        <v>608</v>
      </c>
      <c r="D272" s="16">
        <v>0.05</v>
      </c>
    </row>
    <row r="273" spans="1:4" ht="14.1" customHeight="1">
      <c r="A273" s="14">
        <f t="shared" si="5"/>
        <v>269</v>
      </c>
      <c r="B273" s="15" t="s">
        <v>877</v>
      </c>
      <c r="C273" s="16" t="s">
        <v>608</v>
      </c>
      <c r="D273" s="16">
        <v>0.05</v>
      </c>
    </row>
    <row r="274" spans="1:4" ht="14.1" customHeight="1">
      <c r="A274" s="14">
        <f t="shared" si="5"/>
        <v>270</v>
      </c>
      <c r="B274" s="15" t="s">
        <v>878</v>
      </c>
      <c r="C274" s="16" t="s">
        <v>608</v>
      </c>
      <c r="D274" s="16">
        <v>4.8000000000000001E-2</v>
      </c>
    </row>
    <row r="275" spans="1:4" ht="14.1" customHeight="1">
      <c r="A275" s="14">
        <f t="shared" si="5"/>
        <v>271</v>
      </c>
      <c r="B275" s="15" t="s">
        <v>879</v>
      </c>
      <c r="C275" s="16" t="s">
        <v>608</v>
      </c>
      <c r="D275" s="16">
        <v>4.4999999999999998E-2</v>
      </c>
    </row>
    <row r="276" spans="1:4" ht="14.1" customHeight="1">
      <c r="A276" s="14">
        <f t="shared" si="5"/>
        <v>272</v>
      </c>
      <c r="B276" s="15" t="s">
        <v>880</v>
      </c>
      <c r="C276" s="16" t="s">
        <v>608</v>
      </c>
      <c r="D276" s="16">
        <v>5.1999999999999998E-2</v>
      </c>
    </row>
    <row r="277" spans="1:4" ht="14.1" customHeight="1">
      <c r="A277" s="14">
        <f t="shared" si="5"/>
        <v>273</v>
      </c>
      <c r="B277" s="15" t="s">
        <v>881</v>
      </c>
      <c r="C277" s="16" t="s">
        <v>608</v>
      </c>
      <c r="D277" s="16">
        <v>0.05</v>
      </c>
    </row>
    <row r="278" spans="1:4" ht="14.1" customHeight="1">
      <c r="A278" s="14">
        <f t="shared" si="5"/>
        <v>274</v>
      </c>
      <c r="B278" s="15" t="s">
        <v>882</v>
      </c>
      <c r="C278" s="16" t="s">
        <v>608</v>
      </c>
      <c r="D278" s="16">
        <v>4.7E-2</v>
      </c>
    </row>
    <row r="279" spans="1:4" ht="14.1" customHeight="1">
      <c r="A279" s="14">
        <f t="shared" si="5"/>
        <v>275</v>
      </c>
      <c r="B279" s="15" t="s">
        <v>883</v>
      </c>
      <c r="C279" s="16" t="s">
        <v>608</v>
      </c>
      <c r="D279" s="16">
        <v>4.8000000000000001E-2</v>
      </c>
    </row>
    <row r="280" spans="1:4" ht="14.1" customHeight="1">
      <c r="A280" s="14">
        <f t="shared" si="5"/>
        <v>276</v>
      </c>
      <c r="B280" s="15" t="s">
        <v>884</v>
      </c>
      <c r="C280" s="16" t="s">
        <v>608</v>
      </c>
      <c r="D280" s="16">
        <v>4.4999999999999998E-2</v>
      </c>
    </row>
    <row r="281" spans="1:4" ht="14.1" customHeight="1">
      <c r="A281" s="14">
        <f t="shared" si="5"/>
        <v>277</v>
      </c>
      <c r="B281" s="15" t="s">
        <v>885</v>
      </c>
      <c r="C281" s="16" t="s">
        <v>608</v>
      </c>
      <c r="D281" s="16">
        <v>4.2999999999999997E-2</v>
      </c>
    </row>
    <row r="282" spans="1:4" ht="14.1" customHeight="1">
      <c r="A282" s="14">
        <f t="shared" si="5"/>
        <v>278</v>
      </c>
      <c r="B282" s="15" t="s">
        <v>886</v>
      </c>
      <c r="C282" s="16" t="s">
        <v>608</v>
      </c>
      <c r="D282" s="16">
        <v>4.9000000000000002E-2</v>
      </c>
    </row>
    <row r="283" spans="1:4" ht="14.1" customHeight="1">
      <c r="A283" s="14">
        <f t="shared" si="5"/>
        <v>279</v>
      </c>
      <c r="B283" s="15" t="s">
        <v>887</v>
      </c>
      <c r="C283" s="16" t="s">
        <v>608</v>
      </c>
      <c r="D283" s="16">
        <v>4.7E-2</v>
      </c>
    </row>
    <row r="284" spans="1:4" ht="14.1" customHeight="1">
      <c r="A284" s="14">
        <f t="shared" si="5"/>
        <v>280</v>
      </c>
      <c r="B284" s="15" t="s">
        <v>888</v>
      </c>
      <c r="C284" s="16" t="s">
        <v>608</v>
      </c>
      <c r="D284" s="16">
        <v>4.4999999999999998E-2</v>
      </c>
    </row>
    <row r="285" spans="1:4" ht="14.1" customHeight="1">
      <c r="A285" s="14">
        <f t="shared" si="5"/>
        <v>281</v>
      </c>
      <c r="B285" s="15" t="s">
        <v>889</v>
      </c>
      <c r="C285" s="16" t="s">
        <v>608</v>
      </c>
      <c r="D285" s="16">
        <v>4.4999999999999998E-2</v>
      </c>
    </row>
    <row r="286" spans="1:4" ht="14.1" customHeight="1">
      <c r="A286" s="14">
        <f t="shared" si="5"/>
        <v>282</v>
      </c>
      <c r="B286" s="15" t="s">
        <v>890</v>
      </c>
      <c r="C286" s="16" t="s">
        <v>608</v>
      </c>
      <c r="D286" s="16">
        <v>4.2999999999999997E-2</v>
      </c>
    </row>
    <row r="287" spans="1:4" ht="14.1" customHeight="1">
      <c r="A287" s="14">
        <f t="shared" si="5"/>
        <v>283</v>
      </c>
      <c r="B287" s="15" t="s">
        <v>891</v>
      </c>
      <c r="C287" s="16" t="s">
        <v>608</v>
      </c>
      <c r="D287" s="16">
        <v>4.1000000000000002E-2</v>
      </c>
    </row>
    <row r="288" spans="1:4" ht="14.1" customHeight="1">
      <c r="A288" s="14">
        <f t="shared" si="5"/>
        <v>284</v>
      </c>
      <c r="B288" s="15" t="s">
        <v>892</v>
      </c>
      <c r="C288" s="16" t="s">
        <v>608</v>
      </c>
      <c r="D288" s="16">
        <v>4.7E-2</v>
      </c>
    </row>
    <row r="289" spans="1:4" ht="14.1" customHeight="1">
      <c r="A289" s="14">
        <f t="shared" si="5"/>
        <v>285</v>
      </c>
      <c r="B289" s="15" t="s">
        <v>893</v>
      </c>
      <c r="C289" s="16" t="s">
        <v>608</v>
      </c>
      <c r="D289" s="16">
        <v>4.4999999999999998E-2</v>
      </c>
    </row>
    <row r="290" spans="1:4" ht="14.1" customHeight="1">
      <c r="A290" s="14">
        <f t="shared" si="5"/>
        <v>286</v>
      </c>
      <c r="B290" s="15" t="s">
        <v>894</v>
      </c>
      <c r="C290" s="16" t="s">
        <v>608</v>
      </c>
      <c r="D290" s="16">
        <v>4.2999999999999997E-2</v>
      </c>
    </row>
    <row r="291" spans="1:4" ht="14.1" customHeight="1">
      <c r="A291" s="14">
        <f t="shared" si="5"/>
        <v>287</v>
      </c>
      <c r="B291" s="15" t="s">
        <v>895</v>
      </c>
      <c r="C291" s="16" t="s">
        <v>608</v>
      </c>
      <c r="D291" s="16">
        <v>4.2999999999999997E-2</v>
      </c>
    </row>
    <row r="292" spans="1:4" ht="14.1" customHeight="1">
      <c r="A292" s="14">
        <f t="shared" si="5"/>
        <v>288</v>
      </c>
      <c r="B292" s="15" t="s">
        <v>896</v>
      </c>
      <c r="C292" s="16" t="s">
        <v>608</v>
      </c>
      <c r="D292" s="16">
        <v>4.1000000000000002E-2</v>
      </c>
    </row>
    <row r="293" spans="1:4" ht="14.1" customHeight="1">
      <c r="A293" s="14">
        <f t="shared" si="5"/>
        <v>289</v>
      </c>
      <c r="B293" s="15" t="s">
        <v>897</v>
      </c>
      <c r="C293" s="16" t="s">
        <v>608</v>
      </c>
      <c r="D293" s="16">
        <v>0.04</v>
      </c>
    </row>
    <row r="294" spans="1:4" ht="14.1" customHeight="1">
      <c r="A294" s="14">
        <f t="shared" si="5"/>
        <v>290</v>
      </c>
      <c r="B294" s="15" t="s">
        <v>898</v>
      </c>
      <c r="C294" s="16" t="s">
        <v>608</v>
      </c>
      <c r="D294" s="16">
        <v>4.3999999999999997E-2</v>
      </c>
    </row>
    <row r="295" spans="1:4" ht="14.1" customHeight="1">
      <c r="A295" s="14">
        <f t="shared" si="5"/>
        <v>291</v>
      </c>
      <c r="B295" s="15" t="s">
        <v>899</v>
      </c>
      <c r="C295" s="16" t="s">
        <v>608</v>
      </c>
      <c r="D295" s="16">
        <v>4.2000000000000003E-2</v>
      </c>
    </row>
    <row r="296" spans="1:4" ht="14.1" customHeight="1">
      <c r="A296" s="14">
        <f t="shared" si="5"/>
        <v>292</v>
      </c>
      <c r="B296" s="15" t="s">
        <v>900</v>
      </c>
      <c r="C296" s="16" t="s">
        <v>608</v>
      </c>
      <c r="D296" s="16">
        <v>4.1000000000000002E-2</v>
      </c>
    </row>
    <row r="297" spans="1:4" ht="14.1" customHeight="1">
      <c r="A297" s="14">
        <f t="shared" si="5"/>
        <v>293</v>
      </c>
      <c r="B297" s="15" t="s">
        <v>901</v>
      </c>
      <c r="C297" s="16" t="s">
        <v>608</v>
      </c>
      <c r="D297" s="16">
        <v>4.1000000000000002E-2</v>
      </c>
    </row>
    <row r="298" spans="1:4" ht="14.1" customHeight="1">
      <c r="A298" s="14">
        <f t="shared" si="5"/>
        <v>294</v>
      </c>
      <c r="B298" s="15" t="s">
        <v>902</v>
      </c>
      <c r="C298" s="16" t="s">
        <v>608</v>
      </c>
      <c r="D298" s="16">
        <v>3.9E-2</v>
      </c>
    </row>
    <row r="299" spans="1:4" ht="14.1" customHeight="1">
      <c r="A299" s="14">
        <f t="shared" si="5"/>
        <v>295</v>
      </c>
      <c r="B299" s="15" t="s">
        <v>903</v>
      </c>
      <c r="C299" s="16" t="s">
        <v>608</v>
      </c>
      <c r="D299" s="16">
        <v>3.7999999999999999E-2</v>
      </c>
    </row>
    <row r="300" spans="1:4" ht="14.1" customHeight="1">
      <c r="A300" s="14">
        <f t="shared" si="5"/>
        <v>296</v>
      </c>
      <c r="B300" s="15" t="s">
        <v>904</v>
      </c>
      <c r="C300" s="16" t="s">
        <v>608</v>
      </c>
      <c r="D300" s="16">
        <v>4.2000000000000003E-2</v>
      </c>
    </row>
    <row r="301" spans="1:4" ht="14.1" customHeight="1">
      <c r="A301" s="14">
        <f t="shared" si="5"/>
        <v>297</v>
      </c>
      <c r="B301" s="15" t="s">
        <v>905</v>
      </c>
      <c r="C301" s="16" t="s">
        <v>608</v>
      </c>
      <c r="D301" s="16">
        <v>4.1000000000000002E-2</v>
      </c>
    </row>
    <row r="302" spans="1:4" ht="14.1" customHeight="1">
      <c r="A302" s="14">
        <f t="shared" si="5"/>
        <v>298</v>
      </c>
      <c r="B302" s="15" t="s">
        <v>906</v>
      </c>
      <c r="C302" s="16" t="s">
        <v>608</v>
      </c>
      <c r="D302" s="16">
        <v>3.9E-2</v>
      </c>
    </row>
    <row r="303" spans="1:4" ht="14.1" customHeight="1">
      <c r="A303" s="14">
        <f t="shared" si="5"/>
        <v>299</v>
      </c>
      <c r="B303" s="15" t="s">
        <v>907</v>
      </c>
      <c r="C303" s="16" t="s">
        <v>608</v>
      </c>
      <c r="D303" s="16">
        <v>3.9E-2</v>
      </c>
    </row>
    <row r="304" spans="1:4" ht="14.1" customHeight="1">
      <c r="A304" s="14">
        <f t="shared" si="5"/>
        <v>300</v>
      </c>
      <c r="B304" s="15" t="s">
        <v>908</v>
      </c>
      <c r="C304" s="16" t="s">
        <v>608</v>
      </c>
      <c r="D304" s="16">
        <v>3.7999999999999999E-2</v>
      </c>
    </row>
    <row r="305" spans="1:4" ht="14.1" customHeight="1">
      <c r="A305" s="14">
        <f t="shared" si="5"/>
        <v>301</v>
      </c>
      <c r="B305" s="15" t="s">
        <v>909</v>
      </c>
      <c r="C305" s="16" t="s">
        <v>608</v>
      </c>
      <c r="D305" s="16">
        <v>3.5999999999999997E-2</v>
      </c>
    </row>
    <row r="306" spans="1:4" ht="14.1" customHeight="1">
      <c r="A306" s="14">
        <f t="shared" si="5"/>
        <v>302</v>
      </c>
      <c r="B306" s="15" t="s">
        <v>910</v>
      </c>
      <c r="C306" s="16" t="s">
        <v>608</v>
      </c>
      <c r="D306" s="16">
        <v>0.04</v>
      </c>
    </row>
    <row r="307" spans="1:4" ht="14.1" customHeight="1">
      <c r="A307" s="14">
        <f t="shared" si="5"/>
        <v>303</v>
      </c>
      <c r="B307" s="15" t="s">
        <v>911</v>
      </c>
      <c r="C307" s="16" t="s">
        <v>608</v>
      </c>
      <c r="D307" s="16">
        <v>3.9E-2</v>
      </c>
    </row>
    <row r="308" spans="1:4" ht="14.1" customHeight="1">
      <c r="A308" s="14">
        <f t="shared" si="5"/>
        <v>304</v>
      </c>
      <c r="B308" s="15" t="s">
        <v>912</v>
      </c>
      <c r="C308" s="16" t="s">
        <v>608</v>
      </c>
      <c r="D308" s="16">
        <v>3.6999999999999998E-2</v>
      </c>
    </row>
    <row r="309" spans="1:4" ht="14.1" customHeight="1">
      <c r="A309" s="14">
        <f t="shared" si="5"/>
        <v>305</v>
      </c>
      <c r="B309" s="15" t="s">
        <v>913</v>
      </c>
      <c r="C309" s="16" t="s">
        <v>608</v>
      </c>
      <c r="D309" s="16">
        <v>3.7999999999999999E-2</v>
      </c>
    </row>
    <row r="310" spans="1:4" ht="14.1" customHeight="1">
      <c r="A310" s="14">
        <f t="shared" si="5"/>
        <v>306</v>
      </c>
      <c r="B310" s="15" t="s">
        <v>914</v>
      </c>
      <c r="C310" s="16" t="s">
        <v>608</v>
      </c>
      <c r="D310" s="16">
        <v>3.5999999999999997E-2</v>
      </c>
    </row>
    <row r="311" spans="1:4" ht="14.1" customHeight="1">
      <c r="A311" s="14">
        <f t="shared" si="5"/>
        <v>307</v>
      </c>
      <c r="B311" s="15" t="s">
        <v>915</v>
      </c>
      <c r="C311" s="16" t="s">
        <v>608</v>
      </c>
      <c r="D311" s="16">
        <v>3.5000000000000003E-2</v>
      </c>
    </row>
    <row r="312" spans="1:4" ht="14.1" customHeight="1">
      <c r="A312" s="14">
        <f t="shared" si="5"/>
        <v>308</v>
      </c>
      <c r="B312" s="15" t="s">
        <v>916</v>
      </c>
      <c r="C312" s="16" t="s">
        <v>608</v>
      </c>
      <c r="D312" s="16">
        <v>3.9E-2</v>
      </c>
    </row>
    <row r="313" spans="1:4" ht="14.1" customHeight="1">
      <c r="A313" s="14">
        <f t="shared" si="5"/>
        <v>309</v>
      </c>
      <c r="B313" s="15" t="s">
        <v>917</v>
      </c>
      <c r="C313" s="16" t="s">
        <v>608</v>
      </c>
      <c r="D313" s="16">
        <v>3.6999999999999998E-2</v>
      </c>
    </row>
    <row r="314" spans="1:4" ht="14.1" customHeight="1">
      <c r="A314" s="14">
        <f t="shared" si="5"/>
        <v>310</v>
      </c>
      <c r="B314" s="15" t="s">
        <v>918</v>
      </c>
      <c r="C314" s="16" t="s">
        <v>608</v>
      </c>
      <c r="D314" s="16">
        <v>3.5999999999999997E-2</v>
      </c>
    </row>
    <row r="315" spans="1:4" ht="14.1" customHeight="1">
      <c r="A315" s="14">
        <f t="shared" si="5"/>
        <v>311</v>
      </c>
      <c r="B315" s="15" t="s">
        <v>919</v>
      </c>
      <c r="C315" s="16" t="s">
        <v>608</v>
      </c>
      <c r="D315" s="16">
        <v>3.5999999999999997E-2</v>
      </c>
    </row>
    <row r="316" spans="1:4" ht="14.1" customHeight="1">
      <c r="A316" s="14">
        <f t="shared" si="5"/>
        <v>312</v>
      </c>
      <c r="B316" s="15" t="s">
        <v>920</v>
      </c>
      <c r="C316" s="16" t="s">
        <v>608</v>
      </c>
      <c r="D316" s="16">
        <v>3.5000000000000003E-2</v>
      </c>
    </row>
    <row r="317" spans="1:4" ht="14.1" customHeight="1">
      <c r="A317" s="14">
        <f t="shared" si="5"/>
        <v>313</v>
      </c>
      <c r="B317" s="15" t="s">
        <v>921</v>
      </c>
      <c r="C317" s="16" t="s">
        <v>608</v>
      </c>
      <c r="D317" s="16">
        <v>3.4000000000000002E-2</v>
      </c>
    </row>
    <row r="318" spans="1:4" ht="14.1" customHeight="1">
      <c r="A318" s="14">
        <f t="shared" si="5"/>
        <v>314</v>
      </c>
      <c r="B318" s="15" t="s">
        <v>922</v>
      </c>
      <c r="C318" s="16" t="s">
        <v>608</v>
      </c>
      <c r="D318" s="16">
        <v>3.6999999999999998E-2</v>
      </c>
    </row>
    <row r="319" spans="1:4" ht="14.1" customHeight="1">
      <c r="A319" s="14">
        <f t="shared" si="5"/>
        <v>315</v>
      </c>
      <c r="B319" s="15" t="s">
        <v>923</v>
      </c>
      <c r="C319" s="16" t="s">
        <v>608</v>
      </c>
      <c r="D319" s="16">
        <v>3.5999999999999997E-2</v>
      </c>
    </row>
    <row r="320" spans="1:4" ht="14.1" customHeight="1">
      <c r="A320" s="14">
        <f t="shared" si="5"/>
        <v>316</v>
      </c>
      <c r="B320" s="15" t="s">
        <v>924</v>
      </c>
      <c r="C320" s="16" t="s">
        <v>608</v>
      </c>
      <c r="D320" s="16">
        <v>3.5000000000000003E-2</v>
      </c>
    </row>
    <row r="321" spans="1:4" ht="14.1" customHeight="1">
      <c r="A321" s="14">
        <f t="shared" si="5"/>
        <v>317</v>
      </c>
      <c r="B321" s="15" t="s">
        <v>925</v>
      </c>
      <c r="C321" s="16" t="s">
        <v>608</v>
      </c>
      <c r="D321" s="16">
        <v>3.5000000000000003E-2</v>
      </c>
    </row>
    <row r="322" spans="1:4" ht="14.1" customHeight="1">
      <c r="A322" s="14">
        <f t="shared" si="5"/>
        <v>318</v>
      </c>
      <c r="B322" s="15" t="s">
        <v>926</v>
      </c>
      <c r="C322" s="16" t="s">
        <v>608</v>
      </c>
      <c r="D322" s="16">
        <v>3.4000000000000002E-2</v>
      </c>
    </row>
    <row r="323" spans="1:4" ht="14.1" customHeight="1">
      <c r="A323" s="14">
        <f t="shared" si="5"/>
        <v>319</v>
      </c>
      <c r="B323" s="15" t="s">
        <v>927</v>
      </c>
      <c r="C323" s="16" t="s">
        <v>608</v>
      </c>
      <c r="D323" s="16">
        <v>3.3000000000000002E-2</v>
      </c>
    </row>
    <row r="324" spans="1:4" ht="14.1" customHeight="1">
      <c r="A324" s="14">
        <f t="shared" si="5"/>
        <v>320</v>
      </c>
      <c r="B324" s="15" t="s">
        <v>928</v>
      </c>
      <c r="C324" s="16" t="s">
        <v>608</v>
      </c>
      <c r="D324" s="16">
        <v>3.5999999999999997E-2</v>
      </c>
    </row>
    <row r="325" spans="1:4" ht="14.1" customHeight="1">
      <c r="A325" s="14">
        <f t="shared" si="5"/>
        <v>321</v>
      </c>
      <c r="B325" s="15" t="s">
        <v>929</v>
      </c>
      <c r="C325" s="16" t="s">
        <v>608</v>
      </c>
      <c r="D325" s="16">
        <v>3.5000000000000003E-2</v>
      </c>
    </row>
    <row r="326" spans="1:4" ht="14.1" customHeight="1">
      <c r="A326" s="14">
        <f t="shared" si="5"/>
        <v>322</v>
      </c>
      <c r="B326" s="15" t="s">
        <v>930</v>
      </c>
      <c r="C326" s="16" t="s">
        <v>608</v>
      </c>
      <c r="D326" s="16">
        <v>3.3000000000000002E-2</v>
      </c>
    </row>
    <row r="327" spans="1:4" ht="14.1" customHeight="1">
      <c r="A327" s="14">
        <f t="shared" si="5"/>
        <v>323</v>
      </c>
      <c r="B327" s="15" t="s">
        <v>931</v>
      </c>
      <c r="C327" s="16" t="s">
        <v>608</v>
      </c>
      <c r="D327" s="16">
        <v>3.3000000000000002E-2</v>
      </c>
    </row>
    <row r="328" spans="1:4" ht="14.1" customHeight="1">
      <c r="A328" s="14">
        <f t="shared" si="5"/>
        <v>324</v>
      </c>
      <c r="B328" s="15" t="s">
        <v>932</v>
      </c>
      <c r="C328" s="16" t="s">
        <v>608</v>
      </c>
      <c r="D328" s="16">
        <v>3.3000000000000002E-2</v>
      </c>
    </row>
    <row r="329" spans="1:4" ht="14.1" customHeight="1">
      <c r="A329" s="14">
        <f t="shared" si="5"/>
        <v>325</v>
      </c>
      <c r="B329" s="15" t="s">
        <v>933</v>
      </c>
      <c r="C329" s="16" t="s">
        <v>608</v>
      </c>
      <c r="D329" s="16">
        <v>3.2000000000000001E-2</v>
      </c>
    </row>
    <row r="330" spans="1:4" ht="14.1" customHeight="1">
      <c r="A330" s="14">
        <f t="shared" si="5"/>
        <v>326</v>
      </c>
      <c r="B330" s="15" t="s">
        <v>934</v>
      </c>
      <c r="C330" s="16" t="s">
        <v>608</v>
      </c>
      <c r="D330" s="16">
        <v>3.4000000000000002E-2</v>
      </c>
    </row>
    <row r="331" spans="1:4" ht="14.1" customHeight="1">
      <c r="A331" s="14">
        <f t="shared" si="5"/>
        <v>327</v>
      </c>
      <c r="B331" s="15" t="s">
        <v>935</v>
      </c>
      <c r="C331" s="16" t="s">
        <v>608</v>
      </c>
      <c r="D331" s="16">
        <v>3.3000000000000002E-2</v>
      </c>
    </row>
    <row r="332" spans="1:4" ht="14.1" customHeight="1">
      <c r="A332" s="14">
        <f t="shared" si="5"/>
        <v>328</v>
      </c>
      <c r="B332" s="15" t="s">
        <v>936</v>
      </c>
      <c r="C332" s="16" t="s">
        <v>608</v>
      </c>
      <c r="D332" s="16">
        <v>3.2000000000000001E-2</v>
      </c>
    </row>
    <row r="333" spans="1:4" ht="14.1" customHeight="1">
      <c r="A333" s="14">
        <f t="shared" si="5"/>
        <v>329</v>
      </c>
      <c r="B333" s="15" t="s">
        <v>937</v>
      </c>
      <c r="C333" s="16" t="s">
        <v>608</v>
      </c>
      <c r="D333" s="16">
        <v>3.2000000000000001E-2</v>
      </c>
    </row>
    <row r="334" spans="1:4" ht="14.1" customHeight="1">
      <c r="A334" s="14">
        <f t="shared" si="5"/>
        <v>330</v>
      </c>
      <c r="B334" s="15" t="s">
        <v>938</v>
      </c>
      <c r="C334" s="16" t="s">
        <v>608</v>
      </c>
      <c r="D334" s="16">
        <v>3.1E-2</v>
      </c>
    </row>
    <row r="335" spans="1:4" ht="14.1" customHeight="1">
      <c r="A335" s="14">
        <f t="shared" si="5"/>
        <v>331</v>
      </c>
      <c r="B335" s="15" t="s">
        <v>939</v>
      </c>
      <c r="C335" s="16" t="s">
        <v>608</v>
      </c>
      <c r="D335" s="16">
        <v>3.1E-2</v>
      </c>
    </row>
    <row r="336" spans="1:4" ht="14.1" customHeight="1">
      <c r="A336" s="14">
        <f t="shared" ref="A336:A401" si="6">A335+1</f>
        <v>332</v>
      </c>
      <c r="B336" s="15" t="s">
        <v>940</v>
      </c>
      <c r="C336" s="16" t="s">
        <v>608</v>
      </c>
      <c r="D336" s="16">
        <v>3.3000000000000002E-2</v>
      </c>
    </row>
    <row r="337" spans="1:4" ht="14.1" customHeight="1">
      <c r="A337" s="14">
        <f t="shared" si="6"/>
        <v>333</v>
      </c>
      <c r="B337" s="15" t="s">
        <v>941</v>
      </c>
      <c r="C337" s="16" t="s">
        <v>608</v>
      </c>
      <c r="D337" s="16">
        <v>3.2000000000000001E-2</v>
      </c>
    </row>
    <row r="338" spans="1:4" ht="14.1" customHeight="1">
      <c r="A338" s="14">
        <f t="shared" si="6"/>
        <v>334</v>
      </c>
      <c r="B338" s="15" t="s">
        <v>942</v>
      </c>
      <c r="C338" s="16" t="s">
        <v>608</v>
      </c>
      <c r="D338" s="16">
        <v>3.1E-2</v>
      </c>
    </row>
    <row r="339" spans="1:4" ht="14.1" customHeight="1">
      <c r="A339" s="14">
        <f t="shared" si="6"/>
        <v>335</v>
      </c>
      <c r="B339" s="77" t="s">
        <v>2670</v>
      </c>
      <c r="C339" s="151" t="s">
        <v>2556</v>
      </c>
      <c r="D339" s="151">
        <v>2.7E-2</v>
      </c>
    </row>
    <row r="340" spans="1:4" ht="14.1" customHeight="1">
      <c r="A340" s="14">
        <f t="shared" si="6"/>
        <v>336</v>
      </c>
      <c r="B340" s="77" t="s">
        <v>2106</v>
      </c>
      <c r="C340" s="151" t="s">
        <v>2556</v>
      </c>
      <c r="D340" s="151">
        <v>2.8000000000000001E-2</v>
      </c>
    </row>
    <row r="341" spans="1:4" ht="14.1" customHeight="1">
      <c r="A341" s="14">
        <f t="shared" si="6"/>
        <v>337</v>
      </c>
      <c r="B341" s="15" t="s">
        <v>943</v>
      </c>
      <c r="C341" s="16" t="s">
        <v>608</v>
      </c>
      <c r="D341" s="16">
        <v>5.8999999999999997E-2</v>
      </c>
    </row>
    <row r="342" spans="1:4" ht="14.1" customHeight="1">
      <c r="A342" s="14">
        <f t="shared" si="6"/>
        <v>338</v>
      </c>
      <c r="B342" s="15" t="s">
        <v>944</v>
      </c>
      <c r="C342" s="16" t="s">
        <v>608</v>
      </c>
      <c r="D342" s="16">
        <v>5.5E-2</v>
      </c>
    </row>
    <row r="343" spans="1:4" ht="14.1" customHeight="1">
      <c r="A343" s="14">
        <f t="shared" si="6"/>
        <v>339</v>
      </c>
      <c r="B343" s="15" t="s">
        <v>945</v>
      </c>
      <c r="C343" s="16" t="s">
        <v>608</v>
      </c>
      <c r="D343" s="16">
        <v>5.1999999999999998E-2</v>
      </c>
    </row>
    <row r="344" spans="1:4" ht="14.1" customHeight="1">
      <c r="A344" s="14">
        <f t="shared" si="6"/>
        <v>340</v>
      </c>
      <c r="B344" s="15" t="s">
        <v>946</v>
      </c>
      <c r="C344" s="16" t="s">
        <v>608</v>
      </c>
      <c r="D344" s="16">
        <v>6.2E-2</v>
      </c>
    </row>
    <row r="345" spans="1:4" ht="14.1" customHeight="1">
      <c r="A345" s="14">
        <f t="shared" si="6"/>
        <v>341</v>
      </c>
      <c r="B345" s="15" t="s">
        <v>947</v>
      </c>
      <c r="C345" s="16" t="s">
        <v>608</v>
      </c>
      <c r="D345" s="16">
        <v>5.8000000000000003E-2</v>
      </c>
    </row>
    <row r="346" spans="1:4" ht="14.1" customHeight="1">
      <c r="A346" s="14">
        <f t="shared" si="6"/>
        <v>342</v>
      </c>
      <c r="B346" s="15" t="s">
        <v>948</v>
      </c>
      <c r="C346" s="16" t="s">
        <v>608</v>
      </c>
      <c r="D346" s="16">
        <v>5.3999999999999999E-2</v>
      </c>
    </row>
    <row r="347" spans="1:4" ht="14.1" customHeight="1">
      <c r="A347" s="14">
        <f t="shared" si="6"/>
        <v>343</v>
      </c>
      <c r="B347" s="15" t="s">
        <v>949</v>
      </c>
      <c r="C347" s="16" t="s">
        <v>608</v>
      </c>
      <c r="D347" s="16">
        <v>5.5E-2</v>
      </c>
    </row>
    <row r="348" spans="1:4" ht="14.1" customHeight="1">
      <c r="A348" s="14">
        <f t="shared" si="6"/>
        <v>344</v>
      </c>
      <c r="B348" s="15" t="s">
        <v>950</v>
      </c>
      <c r="C348" s="16" t="s">
        <v>608</v>
      </c>
      <c r="D348" s="16">
        <v>5.1999999999999998E-2</v>
      </c>
    </row>
    <row r="349" spans="1:4" ht="14.1" customHeight="1">
      <c r="A349" s="14">
        <f t="shared" si="6"/>
        <v>345</v>
      </c>
      <c r="B349" s="15" t="s">
        <v>951</v>
      </c>
      <c r="C349" s="16" t="s">
        <v>608</v>
      </c>
      <c r="D349" s="16">
        <v>4.9000000000000002E-2</v>
      </c>
    </row>
    <row r="350" spans="1:4" ht="14.1" customHeight="1">
      <c r="A350" s="14">
        <f t="shared" si="6"/>
        <v>346</v>
      </c>
      <c r="B350" s="15" t="s">
        <v>952</v>
      </c>
      <c r="C350" s="16" t="s">
        <v>608</v>
      </c>
      <c r="D350" s="16">
        <v>5.7000000000000002E-2</v>
      </c>
    </row>
    <row r="351" spans="1:4" ht="14.1" customHeight="1">
      <c r="A351" s="14">
        <f t="shared" si="6"/>
        <v>347</v>
      </c>
      <c r="B351" s="15" t="s">
        <v>953</v>
      </c>
      <c r="C351" s="16" t="s">
        <v>608</v>
      </c>
      <c r="D351" s="16">
        <v>5.3999999999999999E-2</v>
      </c>
    </row>
    <row r="352" spans="1:4" ht="14.1" customHeight="1">
      <c r="A352" s="14">
        <f t="shared" si="6"/>
        <v>348</v>
      </c>
      <c r="B352" s="15" t="s">
        <v>954</v>
      </c>
      <c r="C352" s="16" t="s">
        <v>608</v>
      </c>
      <c r="D352" s="16">
        <v>5.0999999999999997E-2</v>
      </c>
    </row>
    <row r="353" spans="1:4" ht="14.1" customHeight="1">
      <c r="A353" s="14">
        <f t="shared" si="6"/>
        <v>349</v>
      </c>
      <c r="B353" s="15" t="s">
        <v>955</v>
      </c>
      <c r="C353" s="16" t="s">
        <v>608</v>
      </c>
      <c r="D353" s="16">
        <v>5.1999999999999998E-2</v>
      </c>
    </row>
    <row r="354" spans="1:4" ht="14.1" customHeight="1">
      <c r="A354" s="14">
        <f t="shared" si="6"/>
        <v>350</v>
      </c>
      <c r="B354" s="15" t="s">
        <v>956</v>
      </c>
      <c r="C354" s="16" t="s">
        <v>608</v>
      </c>
      <c r="D354" s="16">
        <v>4.9000000000000002E-2</v>
      </c>
    </row>
    <row r="355" spans="1:4" ht="14.1" customHeight="1">
      <c r="A355" s="14">
        <f t="shared" si="6"/>
        <v>351</v>
      </c>
      <c r="B355" s="15" t="s">
        <v>957</v>
      </c>
      <c r="C355" s="16" t="s">
        <v>608</v>
      </c>
      <c r="D355" s="16">
        <v>4.7E-2</v>
      </c>
    </row>
    <row r="356" spans="1:4" ht="14.1" customHeight="1">
      <c r="A356" s="14">
        <f t="shared" si="6"/>
        <v>352</v>
      </c>
      <c r="B356" s="15" t="s">
        <v>958</v>
      </c>
      <c r="C356" s="16" t="s">
        <v>608</v>
      </c>
      <c r="D356" s="16">
        <v>5.3999999999999999E-2</v>
      </c>
    </row>
    <row r="357" spans="1:4" ht="14.1" customHeight="1">
      <c r="A357" s="14">
        <f t="shared" si="6"/>
        <v>353</v>
      </c>
      <c r="B357" s="15" t="s">
        <v>959</v>
      </c>
      <c r="C357" s="16" t="s">
        <v>608</v>
      </c>
      <c r="D357" s="16">
        <v>5.0999999999999997E-2</v>
      </c>
    </row>
    <row r="358" spans="1:4" ht="14.1" customHeight="1">
      <c r="A358" s="14">
        <f t="shared" si="6"/>
        <v>354</v>
      </c>
      <c r="B358" s="15" t="s">
        <v>960</v>
      </c>
      <c r="C358" s="16" t="s">
        <v>608</v>
      </c>
      <c r="D358" s="16">
        <v>4.8000000000000001E-2</v>
      </c>
    </row>
    <row r="359" spans="1:4" ht="14.1" customHeight="1">
      <c r="A359" s="14">
        <f t="shared" si="6"/>
        <v>355</v>
      </c>
      <c r="B359" s="15" t="s">
        <v>961</v>
      </c>
      <c r="C359" s="16" t="s">
        <v>608</v>
      </c>
      <c r="D359" s="16">
        <v>4.9000000000000002E-2</v>
      </c>
    </row>
    <row r="360" spans="1:4" ht="14.1" customHeight="1">
      <c r="A360" s="14">
        <f t="shared" si="6"/>
        <v>356</v>
      </c>
      <c r="B360" s="15" t="s">
        <v>962</v>
      </c>
      <c r="C360" s="16" t="s">
        <v>608</v>
      </c>
      <c r="D360" s="16">
        <v>4.5999999999999999E-2</v>
      </c>
    </row>
    <row r="361" spans="1:4" ht="14.1" customHeight="1">
      <c r="A361" s="14">
        <f t="shared" si="6"/>
        <v>357</v>
      </c>
      <c r="B361" s="15" t="s">
        <v>963</v>
      </c>
      <c r="C361" s="16" t="s">
        <v>608</v>
      </c>
      <c r="D361" s="16">
        <v>4.3999999999999997E-2</v>
      </c>
    </row>
    <row r="362" spans="1:4" ht="14.1" customHeight="1">
      <c r="A362" s="14">
        <f t="shared" si="6"/>
        <v>358</v>
      </c>
      <c r="B362" s="15" t="s">
        <v>964</v>
      </c>
      <c r="C362" s="16" t="s">
        <v>608</v>
      </c>
      <c r="D362" s="16">
        <v>0.05</v>
      </c>
    </row>
    <row r="363" spans="1:4" ht="14.1" customHeight="1">
      <c r="A363" s="14">
        <f t="shared" si="6"/>
        <v>359</v>
      </c>
      <c r="B363" s="15" t="s">
        <v>965</v>
      </c>
      <c r="C363" s="16" t="s">
        <v>608</v>
      </c>
      <c r="D363" s="16">
        <v>4.8000000000000001E-2</v>
      </c>
    </row>
    <row r="364" spans="1:4" ht="14.1" customHeight="1">
      <c r="A364" s="14">
        <f t="shared" si="6"/>
        <v>360</v>
      </c>
      <c r="B364" s="15" t="s">
        <v>966</v>
      </c>
      <c r="C364" s="16" t="s">
        <v>608</v>
      </c>
      <c r="D364" s="16">
        <v>4.5999999999999999E-2</v>
      </c>
    </row>
    <row r="365" spans="1:4" ht="14.1" customHeight="1">
      <c r="A365" s="14">
        <f t="shared" si="6"/>
        <v>361</v>
      </c>
      <c r="B365" s="15" t="s">
        <v>967</v>
      </c>
      <c r="C365" s="16" t="s">
        <v>608</v>
      </c>
      <c r="D365" s="16">
        <v>4.5999999999999999E-2</v>
      </c>
    </row>
    <row r="366" spans="1:4" ht="14.1" customHeight="1">
      <c r="A366" s="14">
        <f t="shared" si="6"/>
        <v>362</v>
      </c>
      <c r="B366" s="15" t="s">
        <v>968</v>
      </c>
      <c r="C366" s="16" t="s">
        <v>608</v>
      </c>
      <c r="D366" s="16">
        <v>4.3999999999999997E-2</v>
      </c>
    </row>
    <row r="367" spans="1:4" ht="14.1" customHeight="1">
      <c r="A367" s="14">
        <f t="shared" si="6"/>
        <v>363</v>
      </c>
      <c r="B367" s="15" t="s">
        <v>969</v>
      </c>
      <c r="C367" s="16" t="s">
        <v>608</v>
      </c>
      <c r="D367" s="16">
        <v>4.2000000000000003E-2</v>
      </c>
    </row>
    <row r="368" spans="1:4" ht="14.1" customHeight="1">
      <c r="A368" s="14">
        <f t="shared" si="6"/>
        <v>364</v>
      </c>
      <c r="B368" s="15" t="s">
        <v>970</v>
      </c>
      <c r="C368" s="16" t="s">
        <v>608</v>
      </c>
      <c r="D368" s="16">
        <v>4.8000000000000001E-2</v>
      </c>
    </row>
    <row r="369" spans="1:4" ht="14.1" customHeight="1">
      <c r="A369" s="14">
        <f t="shared" si="6"/>
        <v>365</v>
      </c>
      <c r="B369" s="15" t="s">
        <v>971</v>
      </c>
      <c r="C369" s="16" t="s">
        <v>608</v>
      </c>
      <c r="D369" s="16">
        <v>4.5999999999999999E-2</v>
      </c>
    </row>
    <row r="370" spans="1:4" ht="14.1" customHeight="1">
      <c r="A370" s="14">
        <f t="shared" si="6"/>
        <v>366</v>
      </c>
      <c r="B370" s="15" t="s">
        <v>972</v>
      </c>
      <c r="C370" s="16" t="s">
        <v>608</v>
      </c>
      <c r="D370" s="16">
        <v>4.3999999999999997E-2</v>
      </c>
    </row>
    <row r="371" spans="1:4" ht="14.1" customHeight="1">
      <c r="A371" s="14">
        <f t="shared" si="6"/>
        <v>367</v>
      </c>
      <c r="B371" s="15" t="s">
        <v>973</v>
      </c>
      <c r="C371" s="16" t="s">
        <v>608</v>
      </c>
      <c r="D371" s="16">
        <v>4.3999999999999997E-2</v>
      </c>
    </row>
    <row r="372" spans="1:4" ht="14.1" customHeight="1">
      <c r="A372" s="14">
        <f t="shared" si="6"/>
        <v>368</v>
      </c>
      <c r="B372" s="15" t="s">
        <v>974</v>
      </c>
      <c r="C372" s="16" t="s">
        <v>608</v>
      </c>
      <c r="D372" s="16">
        <v>4.2000000000000003E-2</v>
      </c>
    </row>
    <row r="373" spans="1:4" ht="14.1" customHeight="1">
      <c r="A373" s="14">
        <f t="shared" si="6"/>
        <v>369</v>
      </c>
      <c r="B373" s="15" t="s">
        <v>975</v>
      </c>
      <c r="C373" s="16" t="s">
        <v>608</v>
      </c>
      <c r="D373" s="16">
        <v>4.1000000000000002E-2</v>
      </c>
    </row>
    <row r="374" spans="1:4" ht="14.1" customHeight="1">
      <c r="A374" s="14">
        <f t="shared" si="6"/>
        <v>370</v>
      </c>
      <c r="B374" s="15" t="s">
        <v>976</v>
      </c>
      <c r="C374" s="16" t="s">
        <v>608</v>
      </c>
      <c r="D374" s="16">
        <v>4.4999999999999998E-2</v>
      </c>
    </row>
    <row r="375" spans="1:4" ht="14.1" customHeight="1">
      <c r="A375" s="14">
        <f t="shared" si="6"/>
        <v>371</v>
      </c>
      <c r="B375" s="15" t="s">
        <v>977</v>
      </c>
      <c r="C375" s="16" t="s">
        <v>608</v>
      </c>
      <c r="D375" s="16">
        <v>4.2999999999999997E-2</v>
      </c>
    </row>
    <row r="376" spans="1:4" ht="14.1" customHeight="1">
      <c r="A376" s="14">
        <f t="shared" si="6"/>
        <v>372</v>
      </c>
      <c r="B376" s="15" t="s">
        <v>978</v>
      </c>
      <c r="C376" s="16" t="s">
        <v>608</v>
      </c>
      <c r="D376" s="16">
        <v>4.2000000000000003E-2</v>
      </c>
    </row>
    <row r="377" spans="1:4" ht="14.1" customHeight="1">
      <c r="A377" s="14">
        <f t="shared" si="6"/>
        <v>373</v>
      </c>
      <c r="B377" s="15" t="s">
        <v>979</v>
      </c>
      <c r="C377" s="16" t="s">
        <v>608</v>
      </c>
      <c r="D377" s="16">
        <v>4.2000000000000003E-2</v>
      </c>
    </row>
    <row r="378" spans="1:4" ht="14.1" customHeight="1">
      <c r="A378" s="14">
        <f t="shared" si="6"/>
        <v>374</v>
      </c>
      <c r="B378" s="15" t="s">
        <v>980</v>
      </c>
      <c r="C378" s="16" t="s">
        <v>608</v>
      </c>
      <c r="D378" s="16">
        <v>0.04</v>
      </c>
    </row>
    <row r="379" spans="1:4" ht="14.1" customHeight="1">
      <c r="A379" s="14">
        <f t="shared" si="6"/>
        <v>375</v>
      </c>
      <c r="B379" s="15" t="s">
        <v>981</v>
      </c>
      <c r="C379" s="16" t="s">
        <v>608</v>
      </c>
      <c r="D379" s="16">
        <v>3.9E-2</v>
      </c>
    </row>
    <row r="380" spans="1:4" ht="14.1" customHeight="1">
      <c r="A380" s="14">
        <f t="shared" si="6"/>
        <v>376</v>
      </c>
      <c r="B380" s="15" t="s">
        <v>982</v>
      </c>
      <c r="C380" s="16" t="s">
        <v>608</v>
      </c>
      <c r="D380" s="16">
        <v>4.2999999999999997E-2</v>
      </c>
    </row>
    <row r="381" spans="1:4" ht="14.1" customHeight="1">
      <c r="A381" s="14">
        <f t="shared" si="6"/>
        <v>377</v>
      </c>
      <c r="B381" s="15" t="s">
        <v>983</v>
      </c>
      <c r="C381" s="16" t="s">
        <v>608</v>
      </c>
      <c r="D381" s="16">
        <v>4.2000000000000003E-2</v>
      </c>
    </row>
    <row r="382" spans="1:4" ht="14.1" customHeight="1">
      <c r="A382" s="14">
        <f t="shared" si="6"/>
        <v>378</v>
      </c>
      <c r="B382" s="15" t="s">
        <v>984</v>
      </c>
      <c r="C382" s="16" t="s">
        <v>608</v>
      </c>
      <c r="D382" s="16">
        <v>0.04</v>
      </c>
    </row>
    <row r="383" spans="1:4" ht="14.1" customHeight="1">
      <c r="A383" s="14">
        <f t="shared" si="6"/>
        <v>379</v>
      </c>
      <c r="B383" s="15" t="s">
        <v>985</v>
      </c>
      <c r="C383" s="16" t="s">
        <v>608</v>
      </c>
      <c r="D383" s="16">
        <v>0.04</v>
      </c>
    </row>
    <row r="384" spans="1:4" ht="14.1" customHeight="1">
      <c r="A384" s="14">
        <f t="shared" si="6"/>
        <v>380</v>
      </c>
      <c r="B384" s="15" t="s">
        <v>986</v>
      </c>
      <c r="C384" s="16" t="s">
        <v>608</v>
      </c>
      <c r="D384" s="16">
        <v>3.9E-2</v>
      </c>
    </row>
    <row r="385" spans="1:4" ht="14.1" customHeight="1">
      <c r="A385" s="14">
        <f t="shared" si="6"/>
        <v>381</v>
      </c>
      <c r="B385" s="15" t="s">
        <v>987</v>
      </c>
      <c r="C385" s="16" t="s">
        <v>608</v>
      </c>
      <c r="D385" s="16">
        <v>3.6999999999999998E-2</v>
      </c>
    </row>
    <row r="386" spans="1:4" ht="14.1" customHeight="1">
      <c r="A386" s="14">
        <f t="shared" si="6"/>
        <v>382</v>
      </c>
      <c r="B386" s="15" t="s">
        <v>988</v>
      </c>
      <c r="C386" s="16" t="s">
        <v>608</v>
      </c>
      <c r="D386" s="16">
        <v>4.1000000000000002E-2</v>
      </c>
    </row>
    <row r="387" spans="1:4" ht="14.1" customHeight="1">
      <c r="A387" s="14">
        <f t="shared" si="6"/>
        <v>383</v>
      </c>
      <c r="B387" s="15" t="s">
        <v>989</v>
      </c>
      <c r="C387" s="16" t="s">
        <v>608</v>
      </c>
      <c r="D387" s="16">
        <v>3.7999999999999999E-2</v>
      </c>
    </row>
    <row r="388" spans="1:4" ht="14.1" customHeight="1">
      <c r="A388" s="14">
        <f t="shared" si="6"/>
        <v>384</v>
      </c>
      <c r="B388" s="15" t="s">
        <v>990</v>
      </c>
      <c r="C388" s="16" t="s">
        <v>608</v>
      </c>
      <c r="D388" s="16">
        <v>0.04</v>
      </c>
    </row>
    <row r="389" spans="1:4" ht="14.1" customHeight="1">
      <c r="A389" s="14">
        <f t="shared" si="6"/>
        <v>385</v>
      </c>
      <c r="B389" s="15" t="s">
        <v>991</v>
      </c>
      <c r="C389" s="16" t="s">
        <v>608</v>
      </c>
      <c r="D389" s="16">
        <v>3.7999999999999999E-2</v>
      </c>
    </row>
    <row r="390" spans="1:4" ht="14.1" customHeight="1">
      <c r="A390" s="14">
        <f t="shared" si="6"/>
        <v>386</v>
      </c>
      <c r="B390" s="15" t="s">
        <v>992</v>
      </c>
      <c r="C390" s="16" t="s">
        <v>608</v>
      </c>
      <c r="D390" s="16">
        <v>3.6999999999999998E-2</v>
      </c>
    </row>
    <row r="391" spans="1:4" ht="14.1" customHeight="1">
      <c r="A391" s="14">
        <f t="shared" si="6"/>
        <v>387</v>
      </c>
      <c r="B391" s="15" t="s">
        <v>993</v>
      </c>
      <c r="C391" s="16" t="s">
        <v>608</v>
      </c>
      <c r="D391" s="16">
        <v>3.5999999999999997E-2</v>
      </c>
    </row>
    <row r="392" spans="1:4" ht="14.1" customHeight="1">
      <c r="A392" s="14">
        <f t="shared" si="6"/>
        <v>388</v>
      </c>
      <c r="B392" s="15" t="s">
        <v>994</v>
      </c>
      <c r="C392" s="16" t="s">
        <v>608</v>
      </c>
      <c r="D392" s="16">
        <v>3.9E-2</v>
      </c>
    </row>
    <row r="393" spans="1:4" ht="14.1" customHeight="1">
      <c r="A393" s="14">
        <f t="shared" si="6"/>
        <v>389</v>
      </c>
      <c r="B393" s="15" t="s">
        <v>995</v>
      </c>
      <c r="C393" s="16" t="s">
        <v>608</v>
      </c>
      <c r="D393" s="16">
        <v>3.7999999999999999E-2</v>
      </c>
    </row>
    <row r="394" spans="1:4" ht="14.1" customHeight="1">
      <c r="A394" s="14">
        <f t="shared" si="6"/>
        <v>390</v>
      </c>
      <c r="B394" s="15" t="s">
        <v>996</v>
      </c>
      <c r="C394" s="16" t="s">
        <v>608</v>
      </c>
      <c r="D394" s="16">
        <v>3.6999999999999998E-2</v>
      </c>
    </row>
    <row r="395" spans="1:4" ht="14.1" customHeight="1">
      <c r="A395" s="14">
        <f t="shared" si="6"/>
        <v>391</v>
      </c>
      <c r="B395" s="15" t="s">
        <v>997</v>
      </c>
      <c r="C395" s="16" t="s">
        <v>608</v>
      </c>
      <c r="D395" s="16">
        <v>3.6999999999999998E-2</v>
      </c>
    </row>
    <row r="396" spans="1:4" ht="14.1" customHeight="1">
      <c r="A396" s="14">
        <f t="shared" si="6"/>
        <v>392</v>
      </c>
      <c r="B396" s="15" t="s">
        <v>998</v>
      </c>
      <c r="C396" s="16" t="s">
        <v>608</v>
      </c>
      <c r="D396" s="16">
        <v>3.5999999999999997E-2</v>
      </c>
    </row>
    <row r="397" spans="1:4" ht="14.1" customHeight="1">
      <c r="A397" s="14">
        <f t="shared" si="6"/>
        <v>393</v>
      </c>
      <c r="B397" s="15" t="s">
        <v>999</v>
      </c>
      <c r="C397" s="16" t="s">
        <v>608</v>
      </c>
      <c r="D397" s="16">
        <v>3.5000000000000003E-2</v>
      </c>
    </row>
    <row r="398" spans="1:4" ht="14.1" customHeight="1">
      <c r="A398" s="14">
        <f t="shared" si="6"/>
        <v>394</v>
      </c>
      <c r="B398" s="15" t="s">
        <v>1000</v>
      </c>
      <c r="C398" s="16" t="s">
        <v>608</v>
      </c>
      <c r="D398" s="16">
        <v>3.7999999999999999E-2</v>
      </c>
    </row>
    <row r="399" spans="1:4" ht="14.1" customHeight="1">
      <c r="A399" s="14">
        <f t="shared" si="6"/>
        <v>395</v>
      </c>
      <c r="B399" s="15" t="s">
        <v>1001</v>
      </c>
      <c r="C399" s="16" t="s">
        <v>608</v>
      </c>
      <c r="D399" s="16">
        <v>3.6999999999999998E-2</v>
      </c>
    </row>
    <row r="400" spans="1:4" ht="14.1" customHeight="1">
      <c r="A400" s="14">
        <f t="shared" si="6"/>
        <v>396</v>
      </c>
      <c r="B400" s="15" t="s">
        <v>1002</v>
      </c>
      <c r="C400" s="16" t="s">
        <v>608</v>
      </c>
      <c r="D400" s="16">
        <v>3.5000000000000003E-2</v>
      </c>
    </row>
    <row r="401" spans="1:4" ht="14.1" customHeight="1">
      <c r="A401" s="14">
        <f t="shared" si="6"/>
        <v>397</v>
      </c>
      <c r="B401" s="15" t="s">
        <v>1003</v>
      </c>
      <c r="C401" s="16" t="s">
        <v>608</v>
      </c>
      <c r="D401" s="16">
        <v>3.5000000000000003E-2</v>
      </c>
    </row>
    <row r="402" spans="1:4" ht="14.1" customHeight="1">
      <c r="A402" s="14">
        <f t="shared" ref="A402:A484" si="7">A401+1</f>
        <v>398</v>
      </c>
      <c r="B402" s="15" t="s">
        <v>1004</v>
      </c>
      <c r="C402" s="16" t="s">
        <v>608</v>
      </c>
      <c r="D402" s="16">
        <v>3.4000000000000002E-2</v>
      </c>
    </row>
    <row r="403" spans="1:4" ht="14.1" customHeight="1">
      <c r="A403" s="14">
        <f t="shared" si="7"/>
        <v>399</v>
      </c>
      <c r="B403" s="15" t="s">
        <v>1005</v>
      </c>
      <c r="C403" s="16" t="s">
        <v>608</v>
      </c>
      <c r="D403" s="16">
        <v>3.3000000000000002E-2</v>
      </c>
    </row>
    <row r="404" spans="1:4" ht="14.1" customHeight="1">
      <c r="A404" s="14">
        <f t="shared" si="7"/>
        <v>400</v>
      </c>
      <c r="B404" s="15" t="s">
        <v>1006</v>
      </c>
      <c r="C404" s="16" t="s">
        <v>608</v>
      </c>
      <c r="D404" s="16">
        <v>3.5999999999999997E-2</v>
      </c>
    </row>
    <row r="405" spans="1:4" ht="14.1" customHeight="1">
      <c r="A405" s="14">
        <f t="shared" si="7"/>
        <v>401</v>
      </c>
      <c r="B405" s="15" t="s">
        <v>1007</v>
      </c>
      <c r="C405" s="16" t="s">
        <v>608</v>
      </c>
      <c r="D405" s="16">
        <v>3.5000000000000003E-2</v>
      </c>
    </row>
    <row r="406" spans="1:4" ht="14.1" customHeight="1">
      <c r="A406" s="14">
        <f t="shared" si="7"/>
        <v>402</v>
      </c>
      <c r="B406" s="15" t="s">
        <v>1008</v>
      </c>
      <c r="C406" s="16" t="s">
        <v>608</v>
      </c>
      <c r="D406" s="16">
        <v>3.4000000000000002E-2</v>
      </c>
    </row>
    <row r="407" spans="1:4" ht="14.1" customHeight="1">
      <c r="A407" s="14">
        <f t="shared" si="7"/>
        <v>403</v>
      </c>
      <c r="B407" s="15" t="s">
        <v>1009</v>
      </c>
      <c r="C407" s="16" t="s">
        <v>608</v>
      </c>
      <c r="D407" s="16">
        <v>3.4000000000000002E-2</v>
      </c>
    </row>
    <row r="408" spans="1:4" ht="14.1" customHeight="1">
      <c r="A408" s="14">
        <f t="shared" si="7"/>
        <v>404</v>
      </c>
      <c r="B408" s="15" t="s">
        <v>1010</v>
      </c>
      <c r="C408" s="16" t="s">
        <v>608</v>
      </c>
      <c r="D408" s="16">
        <v>3.3000000000000002E-2</v>
      </c>
    </row>
    <row r="409" spans="1:4" ht="14.1" customHeight="1">
      <c r="A409" s="14">
        <f t="shared" si="7"/>
        <v>405</v>
      </c>
      <c r="B409" s="15" t="s">
        <v>1011</v>
      </c>
      <c r="C409" s="16" t="s">
        <v>608</v>
      </c>
      <c r="D409" s="16">
        <v>3.2000000000000001E-2</v>
      </c>
    </row>
    <row r="410" spans="1:4" ht="14.1" customHeight="1">
      <c r="A410" s="14">
        <f t="shared" si="7"/>
        <v>406</v>
      </c>
      <c r="B410" s="15" t="s">
        <v>1012</v>
      </c>
      <c r="C410" s="16" t="s">
        <v>608</v>
      </c>
      <c r="D410" s="16">
        <v>3.5000000000000003E-2</v>
      </c>
    </row>
    <row r="411" spans="1:4" ht="14.1" customHeight="1">
      <c r="A411" s="14">
        <f t="shared" si="7"/>
        <v>407</v>
      </c>
      <c r="B411" s="15" t="s">
        <v>1013</v>
      </c>
      <c r="C411" s="16" t="s">
        <v>608</v>
      </c>
      <c r="D411" s="16">
        <v>3.4000000000000002E-2</v>
      </c>
    </row>
    <row r="412" spans="1:4" ht="14.1" customHeight="1">
      <c r="A412" s="14">
        <f t="shared" si="7"/>
        <v>408</v>
      </c>
      <c r="B412" s="15" t="s">
        <v>1014</v>
      </c>
      <c r="C412" s="16" t="s">
        <v>608</v>
      </c>
      <c r="D412" s="16">
        <v>3.3000000000000002E-2</v>
      </c>
    </row>
    <row r="413" spans="1:4" ht="14.1" customHeight="1">
      <c r="A413" s="14">
        <f t="shared" si="7"/>
        <v>409</v>
      </c>
      <c r="B413" s="15" t="s">
        <v>1015</v>
      </c>
      <c r="C413" s="16" t="s">
        <v>608</v>
      </c>
      <c r="D413" s="16">
        <v>3.3000000000000002E-2</v>
      </c>
    </row>
    <row r="414" spans="1:4" ht="14.1" customHeight="1">
      <c r="A414" s="14">
        <f t="shared" si="7"/>
        <v>410</v>
      </c>
      <c r="B414" s="15" t="s">
        <v>1016</v>
      </c>
      <c r="C414" s="16" t="s">
        <v>608</v>
      </c>
      <c r="D414" s="16">
        <v>3.2000000000000001E-2</v>
      </c>
    </row>
    <row r="415" spans="1:4" ht="14.1" customHeight="1">
      <c r="A415" s="14">
        <f t="shared" si="7"/>
        <v>411</v>
      </c>
      <c r="B415" s="15" t="s">
        <v>1017</v>
      </c>
      <c r="C415" s="16" t="s">
        <v>608</v>
      </c>
      <c r="D415" s="16">
        <v>3.1E-2</v>
      </c>
    </row>
    <row r="416" spans="1:4" ht="14.1" customHeight="1">
      <c r="A416" s="14">
        <f t="shared" si="7"/>
        <v>412</v>
      </c>
      <c r="B416" s="15" t="s">
        <v>1018</v>
      </c>
      <c r="C416" s="16" t="s">
        <v>608</v>
      </c>
      <c r="D416" s="16">
        <v>3.4000000000000002E-2</v>
      </c>
    </row>
    <row r="417" spans="1:5" ht="14.1" customHeight="1">
      <c r="A417" s="14">
        <f t="shared" si="7"/>
        <v>413</v>
      </c>
      <c r="B417" s="15" t="s">
        <v>1019</v>
      </c>
      <c r="C417" s="16" t="s">
        <v>608</v>
      </c>
      <c r="D417" s="16">
        <v>3.3000000000000002E-2</v>
      </c>
    </row>
    <row r="418" spans="1:5" ht="14.1" customHeight="1">
      <c r="A418" s="14">
        <f t="shared" si="7"/>
        <v>414</v>
      </c>
      <c r="B418" s="15" t="s">
        <v>1020</v>
      </c>
      <c r="C418" s="16" t="s">
        <v>608</v>
      </c>
      <c r="D418" s="16">
        <v>3.2000000000000001E-2</v>
      </c>
    </row>
    <row r="419" spans="1:5" ht="14.1" customHeight="1">
      <c r="A419" s="14">
        <f t="shared" si="7"/>
        <v>415</v>
      </c>
      <c r="B419" s="77" t="s">
        <v>1020</v>
      </c>
      <c r="C419" s="151" t="s">
        <v>608</v>
      </c>
      <c r="D419" s="151">
        <v>3.2000000000000001E-2</v>
      </c>
    </row>
    <row r="420" spans="1:5" ht="14.1" customHeight="1">
      <c r="A420" s="14">
        <f t="shared" si="7"/>
        <v>416</v>
      </c>
      <c r="B420" s="77" t="s">
        <v>2788</v>
      </c>
      <c r="C420" s="151" t="s">
        <v>2556</v>
      </c>
      <c r="D420" s="151">
        <v>4.9000000000000002E-2</v>
      </c>
      <c r="E420" s="151" t="s">
        <v>2798</v>
      </c>
    </row>
    <row r="421" spans="1:5" ht="14.1" customHeight="1">
      <c r="A421" s="14">
        <f t="shared" si="7"/>
        <v>417</v>
      </c>
      <c r="B421" s="77" t="s">
        <v>2789</v>
      </c>
      <c r="C421" s="151" t="s">
        <v>2556</v>
      </c>
      <c r="D421" s="151">
        <v>0.05</v>
      </c>
      <c r="E421" s="151" t="s">
        <v>2798</v>
      </c>
    </row>
    <row r="422" spans="1:5" ht="14.1" customHeight="1">
      <c r="A422" s="14">
        <f t="shared" si="7"/>
        <v>418</v>
      </c>
      <c r="B422" s="77" t="s">
        <v>2793</v>
      </c>
      <c r="C422" s="151" t="s">
        <v>2556</v>
      </c>
      <c r="D422" s="151">
        <v>4.7E-2</v>
      </c>
      <c r="E422" s="151" t="s">
        <v>2798</v>
      </c>
    </row>
    <row r="423" spans="1:5" ht="14.1" customHeight="1">
      <c r="A423" s="14">
        <f t="shared" si="7"/>
        <v>419</v>
      </c>
      <c r="B423" s="77" t="s">
        <v>2790</v>
      </c>
      <c r="C423" s="151" t="s">
        <v>2556</v>
      </c>
      <c r="D423" s="151">
        <v>4.7E-2</v>
      </c>
      <c r="E423" s="151" t="s">
        <v>2798</v>
      </c>
    </row>
    <row r="424" spans="1:5" ht="14.1" customHeight="1">
      <c r="A424" s="14">
        <f t="shared" si="7"/>
        <v>420</v>
      </c>
      <c r="B424" s="77" t="s">
        <v>2791</v>
      </c>
      <c r="C424" s="151" t="s">
        <v>2556</v>
      </c>
      <c r="D424" s="151">
        <v>4.3999999999999997E-2</v>
      </c>
      <c r="E424" s="151" t="s">
        <v>2798</v>
      </c>
    </row>
    <row r="425" spans="1:5" ht="14.1" customHeight="1">
      <c r="A425" s="14">
        <f t="shared" si="7"/>
        <v>421</v>
      </c>
      <c r="B425" s="77" t="s">
        <v>2792</v>
      </c>
      <c r="C425" s="151" t="s">
        <v>2556</v>
      </c>
      <c r="D425" s="151">
        <v>4.3999999999999997E-2</v>
      </c>
      <c r="E425" s="151" t="s">
        <v>2798</v>
      </c>
    </row>
    <row r="426" spans="1:5" ht="14.1" customHeight="1">
      <c r="A426" s="14">
        <f t="shared" si="7"/>
        <v>422</v>
      </c>
      <c r="B426" s="77" t="s">
        <v>2794</v>
      </c>
      <c r="C426" s="151" t="s">
        <v>2556</v>
      </c>
      <c r="D426" s="151">
        <v>4.2000000000000003E-2</v>
      </c>
      <c r="E426" s="151" t="s">
        <v>2798</v>
      </c>
    </row>
    <row r="427" spans="1:5" ht="14.1" customHeight="1">
      <c r="A427" s="14">
        <f t="shared" si="7"/>
        <v>423</v>
      </c>
      <c r="B427" s="77" t="s">
        <v>2795</v>
      </c>
      <c r="C427" s="151" t="s">
        <v>2556</v>
      </c>
      <c r="D427" s="151">
        <v>4.2000000000000003E-2</v>
      </c>
      <c r="E427" s="151" t="s">
        <v>2798</v>
      </c>
    </row>
    <row r="428" spans="1:5" ht="14.1" customHeight="1">
      <c r="A428" s="14">
        <f t="shared" si="7"/>
        <v>424</v>
      </c>
      <c r="B428" s="77" t="s">
        <v>2796</v>
      </c>
      <c r="C428" s="151" t="s">
        <v>2556</v>
      </c>
      <c r="D428" s="151">
        <v>0.04</v>
      </c>
      <c r="E428" s="151" t="s">
        <v>2798</v>
      </c>
    </row>
    <row r="429" spans="1:5" ht="14.1" customHeight="1">
      <c r="A429" s="14">
        <f t="shared" si="7"/>
        <v>425</v>
      </c>
      <c r="B429" s="77" t="s">
        <v>2797</v>
      </c>
      <c r="C429" s="151" t="s">
        <v>2556</v>
      </c>
      <c r="D429" s="151">
        <v>0.04</v>
      </c>
      <c r="E429" s="151" t="s">
        <v>2798</v>
      </c>
    </row>
    <row r="430" spans="1:5" ht="14.1" customHeight="1">
      <c r="A430" s="14">
        <f t="shared" si="7"/>
        <v>426</v>
      </c>
      <c r="B430" s="77" t="s">
        <v>2663</v>
      </c>
      <c r="C430" s="151" t="s">
        <v>2556</v>
      </c>
      <c r="D430" s="151">
        <v>3.7999999999999999E-2</v>
      </c>
      <c r="E430" s="152" t="s">
        <v>2800</v>
      </c>
    </row>
    <row r="431" spans="1:5" ht="14.1" customHeight="1">
      <c r="A431" s="14">
        <f t="shared" si="7"/>
        <v>427</v>
      </c>
      <c r="B431" s="77" t="s">
        <v>2662</v>
      </c>
      <c r="C431" s="151" t="s">
        <v>2556</v>
      </c>
      <c r="D431" s="151">
        <v>3.9E-2</v>
      </c>
      <c r="E431" s="152" t="s">
        <v>2800</v>
      </c>
    </row>
    <row r="432" spans="1:5" ht="14.1" customHeight="1">
      <c r="A432" s="14">
        <f t="shared" si="7"/>
        <v>428</v>
      </c>
      <c r="B432" s="77" t="s">
        <v>2664</v>
      </c>
      <c r="C432" s="151" t="s">
        <v>2556</v>
      </c>
      <c r="D432" s="151">
        <v>3.7999999999999999E-2</v>
      </c>
      <c r="E432" s="152" t="s">
        <v>2800</v>
      </c>
    </row>
    <row r="433" spans="1:5" ht="14.1" customHeight="1">
      <c r="A433" s="14">
        <f t="shared" si="7"/>
        <v>429</v>
      </c>
      <c r="B433" s="77" t="s">
        <v>2665</v>
      </c>
      <c r="C433" s="151" t="s">
        <v>2556</v>
      </c>
      <c r="D433" s="151">
        <v>3.7999999999999999E-2</v>
      </c>
      <c r="E433" s="152" t="s">
        <v>2800</v>
      </c>
    </row>
    <row r="434" spans="1:5" ht="14.1" customHeight="1">
      <c r="A434" s="14">
        <f t="shared" si="7"/>
        <v>430</v>
      </c>
      <c r="B434" s="77" t="s">
        <v>2666</v>
      </c>
      <c r="C434" s="151" t="s">
        <v>2556</v>
      </c>
      <c r="D434" s="151">
        <v>3.7999999999999999E-2</v>
      </c>
      <c r="E434" s="152" t="s">
        <v>2800</v>
      </c>
    </row>
    <row r="435" spans="1:5" ht="14.1" customHeight="1">
      <c r="A435" s="14">
        <f t="shared" si="7"/>
        <v>431</v>
      </c>
      <c r="B435" s="77" t="s">
        <v>2667</v>
      </c>
      <c r="C435" s="151" t="s">
        <v>2556</v>
      </c>
      <c r="D435" s="151">
        <v>3.7999999999999999E-2</v>
      </c>
      <c r="E435" s="152" t="s">
        <v>2800</v>
      </c>
    </row>
    <row r="436" spans="1:5" ht="14.1" customHeight="1">
      <c r="A436" s="14">
        <f t="shared" si="7"/>
        <v>432</v>
      </c>
      <c r="B436" s="77" t="s">
        <v>2668</v>
      </c>
      <c r="C436" s="151" t="s">
        <v>2556</v>
      </c>
      <c r="D436" s="151">
        <v>3.6999999999999998E-2</v>
      </c>
      <c r="E436" s="152" t="s">
        <v>2800</v>
      </c>
    </row>
    <row r="437" spans="1:5" ht="14.1" customHeight="1">
      <c r="A437" s="14">
        <f t="shared" si="7"/>
        <v>433</v>
      </c>
      <c r="B437" s="77" t="s">
        <v>2669</v>
      </c>
      <c r="C437" s="151" t="s">
        <v>2556</v>
      </c>
      <c r="D437" s="151">
        <v>3.6999999999999998E-2</v>
      </c>
      <c r="E437" s="152" t="s">
        <v>2800</v>
      </c>
    </row>
    <row r="438" spans="1:5" ht="14.1" customHeight="1">
      <c r="A438" s="14">
        <f t="shared" si="7"/>
        <v>434</v>
      </c>
      <c r="B438" s="15" t="s">
        <v>1021</v>
      </c>
      <c r="C438" s="16" t="s">
        <v>608</v>
      </c>
      <c r="D438" s="16">
        <v>0.06</v>
      </c>
    </row>
    <row r="439" spans="1:5" ht="14.1" customHeight="1">
      <c r="A439" s="14">
        <f t="shared" si="7"/>
        <v>435</v>
      </c>
      <c r="B439" s="15" t="s">
        <v>1022</v>
      </c>
      <c r="C439" s="16" t="s">
        <v>608</v>
      </c>
      <c r="D439" s="16">
        <v>5.7000000000000002E-2</v>
      </c>
    </row>
    <row r="440" spans="1:5" ht="14.1" customHeight="1">
      <c r="A440" s="14">
        <f t="shared" si="7"/>
        <v>436</v>
      </c>
      <c r="B440" s="15" t="s">
        <v>1023</v>
      </c>
      <c r="C440" s="16" t="s">
        <v>608</v>
      </c>
      <c r="D440" s="16">
        <v>5.3999999999999999E-2</v>
      </c>
    </row>
    <row r="441" spans="1:5" ht="14.1" customHeight="1">
      <c r="A441" s="14">
        <f t="shared" si="7"/>
        <v>437</v>
      </c>
      <c r="B441" s="15" t="s">
        <v>1024</v>
      </c>
      <c r="C441" s="16" t="s">
        <v>608</v>
      </c>
      <c r="D441" s="16">
        <v>6.3E-2</v>
      </c>
    </row>
    <row r="442" spans="1:5" ht="14.1" customHeight="1">
      <c r="A442" s="14">
        <f t="shared" si="7"/>
        <v>438</v>
      </c>
      <c r="B442" s="15" t="s">
        <v>1025</v>
      </c>
      <c r="C442" s="16" t="s">
        <v>608</v>
      </c>
      <c r="D442" s="16">
        <v>5.8999999999999997E-2</v>
      </c>
    </row>
    <row r="443" spans="1:5" ht="14.1" customHeight="1">
      <c r="A443" s="14">
        <f t="shared" si="7"/>
        <v>439</v>
      </c>
      <c r="B443" s="15" t="s">
        <v>1026</v>
      </c>
      <c r="C443" s="16" t="s">
        <v>608</v>
      </c>
      <c r="D443" s="16">
        <v>5.6000000000000001E-2</v>
      </c>
    </row>
    <row r="444" spans="1:5" ht="14.1" customHeight="1">
      <c r="A444" s="14">
        <f t="shared" si="7"/>
        <v>440</v>
      </c>
      <c r="B444" s="15" t="s">
        <v>1027</v>
      </c>
      <c r="C444" s="16" t="s">
        <v>608</v>
      </c>
      <c r="D444" s="16">
        <v>5.6000000000000001E-2</v>
      </c>
    </row>
    <row r="445" spans="1:5" ht="14.1" customHeight="1">
      <c r="A445" s="14">
        <f t="shared" si="7"/>
        <v>441</v>
      </c>
      <c r="B445" s="15" t="s">
        <v>1028</v>
      </c>
      <c r="C445" s="16" t="s">
        <v>608</v>
      </c>
      <c r="D445" s="16">
        <v>5.2999999999999999E-2</v>
      </c>
    </row>
    <row r="446" spans="1:5" ht="14.1" customHeight="1">
      <c r="A446" s="14">
        <f t="shared" si="7"/>
        <v>442</v>
      </c>
      <c r="B446" s="15" t="s">
        <v>1029</v>
      </c>
      <c r="C446" s="16" t="s">
        <v>608</v>
      </c>
      <c r="D446" s="16">
        <v>5.0999999999999997E-2</v>
      </c>
    </row>
    <row r="447" spans="1:5" ht="14.1" customHeight="1">
      <c r="A447" s="14">
        <f t="shared" si="7"/>
        <v>443</v>
      </c>
      <c r="B447" s="15" t="s">
        <v>1030</v>
      </c>
      <c r="C447" s="16" t="s">
        <v>608</v>
      </c>
      <c r="D447" s="16">
        <v>5.8999999999999997E-2</v>
      </c>
    </row>
    <row r="448" spans="1:5" ht="14.1" customHeight="1">
      <c r="A448" s="14">
        <f t="shared" si="7"/>
        <v>444</v>
      </c>
      <c r="B448" s="15" t="s">
        <v>1031</v>
      </c>
      <c r="C448" s="16" t="s">
        <v>608</v>
      </c>
      <c r="D448" s="16">
        <v>5.6000000000000001E-2</v>
      </c>
    </row>
    <row r="449" spans="1:4" ht="14.1" customHeight="1">
      <c r="A449" s="14">
        <f t="shared" si="7"/>
        <v>445</v>
      </c>
      <c r="B449" s="15" t="s">
        <v>1032</v>
      </c>
      <c r="C449" s="16" t="s">
        <v>608</v>
      </c>
      <c r="D449" s="16">
        <v>5.2999999999999999E-2</v>
      </c>
    </row>
    <row r="450" spans="1:4" ht="14.1" customHeight="1">
      <c r="A450" s="14">
        <f t="shared" si="7"/>
        <v>446</v>
      </c>
      <c r="B450" s="15" t="s">
        <v>1033</v>
      </c>
      <c r="C450" s="16" t="s">
        <v>608</v>
      </c>
      <c r="D450" s="16">
        <v>5.2999999999999999E-2</v>
      </c>
    </row>
    <row r="451" spans="1:4" ht="14.1" customHeight="1">
      <c r="A451" s="14">
        <f t="shared" si="7"/>
        <v>447</v>
      </c>
      <c r="B451" s="15" t="s">
        <v>1034</v>
      </c>
      <c r="C451" s="16" t="s">
        <v>608</v>
      </c>
      <c r="D451" s="16">
        <v>0.05</v>
      </c>
    </row>
    <row r="452" spans="1:4" ht="14.1" customHeight="1">
      <c r="A452" s="14">
        <f t="shared" si="7"/>
        <v>448</v>
      </c>
      <c r="B452" s="15" t="s">
        <v>1035</v>
      </c>
      <c r="C452" s="16" t="s">
        <v>608</v>
      </c>
      <c r="D452" s="16">
        <v>4.8000000000000001E-2</v>
      </c>
    </row>
    <row r="453" spans="1:4" ht="14.1" customHeight="1">
      <c r="A453" s="14">
        <f t="shared" si="7"/>
        <v>449</v>
      </c>
      <c r="B453" s="15" t="s">
        <v>1036</v>
      </c>
      <c r="C453" s="16" t="s">
        <v>608</v>
      </c>
      <c r="D453" s="16">
        <v>5.5E-2</v>
      </c>
    </row>
    <row r="454" spans="1:4" ht="14.1" customHeight="1">
      <c r="A454" s="14">
        <f t="shared" si="7"/>
        <v>450</v>
      </c>
      <c r="B454" s="15" t="s">
        <v>1037</v>
      </c>
      <c r="C454" s="16" t="s">
        <v>608</v>
      </c>
      <c r="D454" s="16">
        <v>5.1999999999999998E-2</v>
      </c>
    </row>
    <row r="455" spans="1:4" ht="14.1" customHeight="1">
      <c r="A455" s="14">
        <f t="shared" si="7"/>
        <v>451</v>
      </c>
      <c r="B455" s="15" t="s">
        <v>1038</v>
      </c>
      <c r="C455" s="16" t="s">
        <v>608</v>
      </c>
      <c r="D455" s="16">
        <v>0.05</v>
      </c>
    </row>
    <row r="456" spans="1:4" ht="14.1" customHeight="1">
      <c r="A456" s="14">
        <f t="shared" si="7"/>
        <v>452</v>
      </c>
      <c r="B456" s="15" t="s">
        <v>1039</v>
      </c>
      <c r="C456" s="16" t="s">
        <v>608</v>
      </c>
      <c r="D456" s="16">
        <v>0.05</v>
      </c>
    </row>
    <row r="457" spans="1:4" ht="14.1" customHeight="1">
      <c r="A457" s="14">
        <f t="shared" si="7"/>
        <v>453</v>
      </c>
      <c r="B457" s="15" t="s">
        <v>1040</v>
      </c>
      <c r="C457" s="16" t="s">
        <v>608</v>
      </c>
      <c r="D457" s="16">
        <v>4.8000000000000001E-2</v>
      </c>
    </row>
    <row r="458" spans="1:4" ht="14.1" customHeight="1">
      <c r="A458" s="14">
        <f t="shared" si="7"/>
        <v>454</v>
      </c>
      <c r="B458" s="15" t="s">
        <v>1041</v>
      </c>
      <c r="C458" s="16" t="s">
        <v>608</v>
      </c>
      <c r="D458" s="16">
        <v>4.5999999999999999E-2</v>
      </c>
    </row>
    <row r="459" spans="1:4" ht="14.1" customHeight="1">
      <c r="A459" s="14">
        <f t="shared" si="7"/>
        <v>455</v>
      </c>
      <c r="B459" s="15" t="s">
        <v>1042</v>
      </c>
      <c r="C459" s="16" t="s">
        <v>608</v>
      </c>
      <c r="D459" s="16">
        <v>5.1999999999999998E-2</v>
      </c>
    </row>
    <row r="460" spans="1:4" ht="14.1" customHeight="1">
      <c r="A460" s="14">
        <f t="shared" si="7"/>
        <v>456</v>
      </c>
      <c r="B460" s="15" t="s">
        <v>1043</v>
      </c>
      <c r="C460" s="16" t="s">
        <v>608</v>
      </c>
      <c r="D460" s="16">
        <v>4.9000000000000002E-2</v>
      </c>
    </row>
    <row r="461" spans="1:4" ht="14.1" customHeight="1">
      <c r="A461" s="14">
        <f t="shared" si="7"/>
        <v>457</v>
      </c>
      <c r="B461" s="15" t="s">
        <v>1044</v>
      </c>
      <c r="C461" s="16" t="s">
        <v>608</v>
      </c>
      <c r="D461" s="16">
        <v>4.7E-2</v>
      </c>
    </row>
    <row r="462" spans="1:4" ht="14.1" customHeight="1">
      <c r="A462" s="14">
        <f t="shared" si="7"/>
        <v>458</v>
      </c>
      <c r="B462" s="15" t="s">
        <v>1045</v>
      </c>
      <c r="C462" s="16" t="s">
        <v>608</v>
      </c>
      <c r="D462" s="16">
        <v>4.7E-2</v>
      </c>
    </row>
    <row r="463" spans="1:4" ht="14.1" customHeight="1">
      <c r="A463" s="14">
        <f t="shared" si="7"/>
        <v>459</v>
      </c>
      <c r="B463" s="15" t="s">
        <v>1046</v>
      </c>
      <c r="C463" s="16" t="s">
        <v>608</v>
      </c>
      <c r="D463" s="16">
        <v>4.4999999999999998E-2</v>
      </c>
    </row>
    <row r="464" spans="1:4" ht="14.1" customHeight="1">
      <c r="A464" s="14">
        <f t="shared" si="7"/>
        <v>460</v>
      </c>
      <c r="B464" s="15" t="s">
        <v>1047</v>
      </c>
      <c r="C464" s="16" t="s">
        <v>608</v>
      </c>
      <c r="D464" s="16">
        <v>4.3999999999999997E-2</v>
      </c>
    </row>
    <row r="465" spans="1:4" ht="14.1" customHeight="1">
      <c r="A465" s="14">
        <f t="shared" si="7"/>
        <v>461</v>
      </c>
      <c r="B465" s="15" t="s">
        <v>1048</v>
      </c>
      <c r="C465" s="16" t="s">
        <v>608</v>
      </c>
      <c r="D465" s="16">
        <v>4.9000000000000002E-2</v>
      </c>
    </row>
    <row r="466" spans="1:4" ht="14.1" customHeight="1">
      <c r="A466" s="14">
        <f t="shared" si="7"/>
        <v>462</v>
      </c>
      <c r="B466" s="15" t="s">
        <v>1049</v>
      </c>
      <c r="C466" s="16" t="s">
        <v>608</v>
      </c>
      <c r="D466" s="16">
        <v>4.7E-2</v>
      </c>
    </row>
    <row r="467" spans="1:4" ht="14.1" customHeight="1">
      <c r="A467" s="14">
        <f t="shared" si="7"/>
        <v>463</v>
      </c>
      <c r="B467" s="15" t="s">
        <v>1050</v>
      </c>
      <c r="C467" s="16" t="s">
        <v>608</v>
      </c>
      <c r="D467" s="16">
        <v>4.4999999999999998E-2</v>
      </c>
    </row>
    <row r="468" spans="1:4" ht="14.1" customHeight="1">
      <c r="A468" s="14">
        <f t="shared" si="7"/>
        <v>464</v>
      </c>
      <c r="B468" s="15" t="s">
        <v>1051</v>
      </c>
      <c r="C468" s="16" t="s">
        <v>608</v>
      </c>
      <c r="D468" s="16">
        <v>4.4999999999999998E-2</v>
      </c>
    </row>
    <row r="469" spans="1:4" ht="14.1" customHeight="1">
      <c r="A469" s="14">
        <f t="shared" si="7"/>
        <v>465</v>
      </c>
      <c r="B469" s="15" t="s">
        <v>1052</v>
      </c>
      <c r="C469" s="16" t="s">
        <v>608</v>
      </c>
      <c r="D469" s="16">
        <v>4.2999999999999997E-2</v>
      </c>
    </row>
    <row r="470" spans="1:4" ht="14.1" customHeight="1">
      <c r="A470" s="14">
        <f t="shared" si="7"/>
        <v>466</v>
      </c>
      <c r="B470" s="15" t="s">
        <v>1053</v>
      </c>
      <c r="C470" s="16" t="s">
        <v>608</v>
      </c>
      <c r="D470" s="16">
        <v>4.2000000000000003E-2</v>
      </c>
    </row>
    <row r="471" spans="1:4" ht="14.1" customHeight="1">
      <c r="A471" s="14">
        <f t="shared" si="7"/>
        <v>467</v>
      </c>
      <c r="B471" s="15" t="s">
        <v>1054</v>
      </c>
      <c r="C471" s="16" t="s">
        <v>608</v>
      </c>
      <c r="D471" s="16">
        <v>4.5999999999999999E-2</v>
      </c>
    </row>
    <row r="472" spans="1:4" ht="14.1" customHeight="1">
      <c r="A472" s="14">
        <f t="shared" si="7"/>
        <v>468</v>
      </c>
      <c r="B472" s="15" t="s">
        <v>1055</v>
      </c>
      <c r="C472" s="16" t="s">
        <v>608</v>
      </c>
      <c r="D472" s="16">
        <v>4.4999999999999998E-2</v>
      </c>
    </row>
    <row r="473" spans="1:4" ht="14.1" customHeight="1">
      <c r="A473" s="14">
        <f t="shared" si="7"/>
        <v>469</v>
      </c>
      <c r="B473" s="15" t="s">
        <v>1056</v>
      </c>
      <c r="C473" s="16" t="s">
        <v>608</v>
      </c>
      <c r="D473" s="16">
        <v>4.2999999999999997E-2</v>
      </c>
    </row>
    <row r="474" spans="1:4" ht="14.1" customHeight="1">
      <c r="A474" s="14">
        <f t="shared" si="7"/>
        <v>470</v>
      </c>
      <c r="B474" s="15" t="s">
        <v>1057</v>
      </c>
      <c r="C474" s="16" t="s">
        <v>608</v>
      </c>
      <c r="D474" s="16">
        <v>4.2999999999999997E-2</v>
      </c>
    </row>
    <row r="475" spans="1:4" ht="14.1" customHeight="1">
      <c r="A475" s="14">
        <f t="shared" si="7"/>
        <v>471</v>
      </c>
      <c r="B475" s="15" t="s">
        <v>1058</v>
      </c>
      <c r="C475" s="16" t="s">
        <v>608</v>
      </c>
      <c r="D475" s="16">
        <v>4.1000000000000002E-2</v>
      </c>
    </row>
    <row r="476" spans="1:4" ht="14.1" customHeight="1">
      <c r="A476" s="14">
        <f t="shared" si="7"/>
        <v>472</v>
      </c>
      <c r="B476" s="15" t="s">
        <v>1059</v>
      </c>
      <c r="C476" s="16" t="s">
        <v>608</v>
      </c>
      <c r="D476" s="16">
        <v>0.04</v>
      </c>
    </row>
    <row r="477" spans="1:4" ht="14.1" customHeight="1">
      <c r="A477" s="14">
        <f t="shared" si="7"/>
        <v>473</v>
      </c>
      <c r="B477" s="15" t="s">
        <v>1060</v>
      </c>
      <c r="C477" s="16" t="s">
        <v>608</v>
      </c>
      <c r="D477" s="16">
        <v>4.3999999999999997E-2</v>
      </c>
    </row>
    <row r="478" spans="1:4" ht="14.1" customHeight="1">
      <c r="A478" s="14">
        <f t="shared" si="7"/>
        <v>474</v>
      </c>
      <c r="B478" s="15" t="s">
        <v>1061</v>
      </c>
      <c r="C478" s="16" t="s">
        <v>608</v>
      </c>
      <c r="D478" s="16">
        <v>4.2999999999999997E-2</v>
      </c>
    </row>
    <row r="479" spans="1:4" ht="14.1" customHeight="1">
      <c r="A479" s="14">
        <f t="shared" si="7"/>
        <v>475</v>
      </c>
      <c r="B479" s="15" t="s">
        <v>1062</v>
      </c>
      <c r="C479" s="16" t="s">
        <v>608</v>
      </c>
      <c r="D479" s="16">
        <v>4.1000000000000002E-2</v>
      </c>
    </row>
    <row r="480" spans="1:4" ht="14.1" customHeight="1">
      <c r="A480" s="14">
        <f t="shared" si="7"/>
        <v>476</v>
      </c>
      <c r="B480" s="15" t="s">
        <v>1063</v>
      </c>
      <c r="C480" s="16" t="s">
        <v>608</v>
      </c>
      <c r="D480" s="16">
        <v>4.1000000000000002E-2</v>
      </c>
    </row>
    <row r="481" spans="1:4" ht="14.1" customHeight="1">
      <c r="A481" s="14">
        <f t="shared" si="7"/>
        <v>477</v>
      </c>
      <c r="B481" s="15" t="s">
        <v>1064</v>
      </c>
      <c r="C481" s="16" t="s">
        <v>608</v>
      </c>
      <c r="D481" s="16">
        <v>0.04</v>
      </c>
    </row>
    <row r="482" spans="1:4" ht="14.1" customHeight="1">
      <c r="A482" s="14">
        <f t="shared" si="7"/>
        <v>478</v>
      </c>
      <c r="B482" s="15" t="s">
        <v>1065</v>
      </c>
      <c r="C482" s="16" t="s">
        <v>608</v>
      </c>
      <c r="D482" s="16">
        <v>3.7999999999999999E-2</v>
      </c>
    </row>
    <row r="483" spans="1:4" ht="14.1" customHeight="1">
      <c r="A483" s="14">
        <f t="shared" si="7"/>
        <v>479</v>
      </c>
      <c r="B483" s="15" t="s">
        <v>1066</v>
      </c>
      <c r="C483" s="16" t="s">
        <v>608</v>
      </c>
      <c r="D483" s="16">
        <v>4.2000000000000003E-2</v>
      </c>
    </row>
    <row r="484" spans="1:4" ht="14.1" customHeight="1">
      <c r="A484" s="14">
        <f t="shared" si="7"/>
        <v>480</v>
      </c>
      <c r="B484" s="15" t="s">
        <v>1067</v>
      </c>
      <c r="C484" s="16" t="s">
        <v>608</v>
      </c>
      <c r="D484" s="16">
        <v>4.1000000000000002E-2</v>
      </c>
    </row>
    <row r="485" spans="1:4" ht="14.1" customHeight="1">
      <c r="A485" s="14">
        <f t="shared" ref="A485:A548" si="8">A484+1</f>
        <v>481</v>
      </c>
      <c r="B485" s="15" t="s">
        <v>1068</v>
      </c>
      <c r="C485" s="16" t="s">
        <v>608</v>
      </c>
      <c r="D485" s="16">
        <v>3.9E-2</v>
      </c>
    </row>
    <row r="486" spans="1:4" ht="14.1" customHeight="1">
      <c r="A486" s="14">
        <f t="shared" si="8"/>
        <v>482</v>
      </c>
      <c r="B486" s="15" t="s">
        <v>1069</v>
      </c>
      <c r="C486" s="16" t="s">
        <v>608</v>
      </c>
      <c r="D486" s="16">
        <v>3.9E-2</v>
      </c>
    </row>
    <row r="487" spans="1:4" ht="14.1" customHeight="1">
      <c r="A487" s="14">
        <f t="shared" si="8"/>
        <v>483</v>
      </c>
      <c r="B487" s="15" t="s">
        <v>1070</v>
      </c>
      <c r="C487" s="16" t="s">
        <v>608</v>
      </c>
      <c r="D487" s="16">
        <v>3.7999999999999999E-2</v>
      </c>
    </row>
    <row r="488" spans="1:4" ht="14.1" customHeight="1">
      <c r="A488" s="14">
        <f t="shared" si="8"/>
        <v>484</v>
      </c>
      <c r="B488" s="15" t="s">
        <v>1071</v>
      </c>
      <c r="C488" s="16" t="s">
        <v>608</v>
      </c>
      <c r="D488" s="16">
        <v>3.6999999999999998E-2</v>
      </c>
    </row>
    <row r="489" spans="1:4" ht="14.1" customHeight="1">
      <c r="A489" s="14">
        <f t="shared" si="8"/>
        <v>485</v>
      </c>
      <c r="B489" s="15" t="s">
        <v>1072</v>
      </c>
      <c r="C489" s="16" t="s">
        <v>608</v>
      </c>
      <c r="D489" s="16">
        <v>0.04</v>
      </c>
    </row>
    <row r="490" spans="1:4" ht="14.1" customHeight="1">
      <c r="A490" s="14">
        <f t="shared" si="8"/>
        <v>486</v>
      </c>
      <c r="B490" s="15" t="s">
        <v>1073</v>
      </c>
      <c r="C490" s="16" t="s">
        <v>608</v>
      </c>
      <c r="D490" s="16">
        <v>3.9E-2</v>
      </c>
    </row>
    <row r="491" spans="1:4" ht="14.1" customHeight="1">
      <c r="A491" s="14">
        <f t="shared" si="8"/>
        <v>487</v>
      </c>
      <c r="B491" s="15" t="s">
        <v>1074</v>
      </c>
      <c r="C491" s="16" t="s">
        <v>608</v>
      </c>
      <c r="D491" s="16">
        <v>3.7999999999999999E-2</v>
      </c>
    </row>
    <row r="492" spans="1:4" ht="14.1" customHeight="1">
      <c r="A492" s="14">
        <f t="shared" si="8"/>
        <v>488</v>
      </c>
      <c r="B492" s="15" t="s">
        <v>1075</v>
      </c>
      <c r="C492" s="16" t="s">
        <v>608</v>
      </c>
      <c r="D492" s="16">
        <v>3.7999999999999999E-2</v>
      </c>
    </row>
    <row r="493" spans="1:4" ht="14.1" customHeight="1">
      <c r="A493" s="14">
        <f t="shared" si="8"/>
        <v>489</v>
      </c>
      <c r="B493" s="15" t="s">
        <v>1076</v>
      </c>
      <c r="C493" s="16" t="s">
        <v>608</v>
      </c>
      <c r="D493" s="16">
        <v>3.6999999999999998E-2</v>
      </c>
    </row>
    <row r="494" spans="1:4" ht="14.1" customHeight="1">
      <c r="A494" s="14">
        <f t="shared" si="8"/>
        <v>490</v>
      </c>
      <c r="B494" s="15" t="s">
        <v>1077</v>
      </c>
      <c r="C494" s="16" t="s">
        <v>608</v>
      </c>
      <c r="D494" s="16">
        <v>3.5999999999999997E-2</v>
      </c>
    </row>
    <row r="495" spans="1:4" ht="14.1" customHeight="1">
      <c r="A495" s="14">
        <f t="shared" si="8"/>
        <v>491</v>
      </c>
      <c r="B495" s="15" t="s">
        <v>1078</v>
      </c>
      <c r="C495" s="16" t="s">
        <v>608</v>
      </c>
      <c r="D495" s="16">
        <v>3.9E-2</v>
      </c>
    </row>
    <row r="496" spans="1:4" ht="14.1" customHeight="1">
      <c r="A496" s="14">
        <f t="shared" si="8"/>
        <v>492</v>
      </c>
      <c r="B496" s="15" t="s">
        <v>1079</v>
      </c>
      <c r="C496" s="16" t="s">
        <v>608</v>
      </c>
      <c r="D496" s="16">
        <v>3.7999999999999999E-2</v>
      </c>
    </row>
    <row r="497" spans="1:4" ht="14.1" customHeight="1">
      <c r="A497" s="14">
        <f t="shared" si="8"/>
        <v>493</v>
      </c>
      <c r="B497" s="15" t="s">
        <v>1080</v>
      </c>
      <c r="C497" s="16" t="s">
        <v>608</v>
      </c>
      <c r="D497" s="16">
        <v>3.5999999999999997E-2</v>
      </c>
    </row>
    <row r="498" spans="1:4" ht="14.1" customHeight="1">
      <c r="A498" s="14">
        <f t="shared" si="8"/>
        <v>494</v>
      </c>
      <c r="B498" s="15" t="s">
        <v>1081</v>
      </c>
      <c r="C498" s="16" t="s">
        <v>608</v>
      </c>
      <c r="D498" s="16">
        <v>3.5999999999999997E-2</v>
      </c>
    </row>
    <row r="499" spans="1:4" ht="14.1" customHeight="1">
      <c r="A499" s="14">
        <f t="shared" si="8"/>
        <v>495</v>
      </c>
      <c r="B499" s="15" t="s">
        <v>1082</v>
      </c>
      <c r="C499" s="16" t="s">
        <v>608</v>
      </c>
      <c r="D499" s="16">
        <v>3.5000000000000003E-2</v>
      </c>
    </row>
    <row r="500" spans="1:4" ht="14.1" customHeight="1">
      <c r="A500" s="14">
        <f t="shared" si="8"/>
        <v>496</v>
      </c>
      <c r="B500" s="15" t="s">
        <v>1083</v>
      </c>
      <c r="C500" s="16" t="s">
        <v>608</v>
      </c>
      <c r="D500" s="16">
        <v>3.4000000000000002E-2</v>
      </c>
    </row>
    <row r="501" spans="1:4" ht="14.1" customHeight="1">
      <c r="A501" s="14">
        <f t="shared" si="8"/>
        <v>497</v>
      </c>
      <c r="B501" s="15" t="s">
        <v>1084</v>
      </c>
      <c r="C501" s="16" t="s">
        <v>608</v>
      </c>
      <c r="D501" s="16">
        <v>3.6999999999999998E-2</v>
      </c>
    </row>
    <row r="502" spans="1:4" ht="14.1" customHeight="1">
      <c r="A502" s="14">
        <f t="shared" si="8"/>
        <v>498</v>
      </c>
      <c r="B502" s="15" t="s">
        <v>1085</v>
      </c>
      <c r="C502" s="16" t="s">
        <v>608</v>
      </c>
      <c r="D502" s="16">
        <v>3.5999999999999997E-2</v>
      </c>
    </row>
    <row r="503" spans="1:4" ht="14.1" customHeight="1">
      <c r="A503" s="14">
        <f t="shared" si="8"/>
        <v>499</v>
      </c>
      <c r="B503" s="15" t="s">
        <v>1086</v>
      </c>
      <c r="C503" s="16" t="s">
        <v>608</v>
      </c>
      <c r="D503" s="16">
        <v>3.5000000000000003E-2</v>
      </c>
    </row>
    <row r="504" spans="1:4" ht="14.1" customHeight="1">
      <c r="A504" s="14">
        <f t="shared" si="8"/>
        <v>500</v>
      </c>
      <c r="B504" s="15" t="s">
        <v>1087</v>
      </c>
      <c r="C504" s="16" t="s">
        <v>608</v>
      </c>
      <c r="D504" s="16">
        <v>3.5000000000000003E-2</v>
      </c>
    </row>
    <row r="505" spans="1:4" ht="14.1" customHeight="1">
      <c r="A505" s="14">
        <f t="shared" si="8"/>
        <v>501</v>
      </c>
      <c r="B505" s="15" t="s">
        <v>1088</v>
      </c>
      <c r="C505" s="16" t="s">
        <v>608</v>
      </c>
      <c r="D505" s="16">
        <v>3.4000000000000002E-2</v>
      </c>
    </row>
    <row r="506" spans="1:4" ht="14.1" customHeight="1">
      <c r="A506" s="14">
        <f t="shared" si="8"/>
        <v>502</v>
      </c>
      <c r="B506" s="15" t="s">
        <v>1089</v>
      </c>
      <c r="C506" s="16" t="s">
        <v>608</v>
      </c>
      <c r="D506" s="16">
        <v>3.3000000000000002E-2</v>
      </c>
    </row>
    <row r="507" spans="1:4" ht="14.1" customHeight="1">
      <c r="A507" s="14">
        <f t="shared" si="8"/>
        <v>503</v>
      </c>
      <c r="B507" s="15" t="s">
        <v>1090</v>
      </c>
      <c r="C507" s="16" t="s">
        <v>608</v>
      </c>
      <c r="D507" s="16">
        <v>3.5999999999999997E-2</v>
      </c>
    </row>
    <row r="508" spans="1:4" ht="14.1" customHeight="1">
      <c r="A508" s="14">
        <f t="shared" si="8"/>
        <v>504</v>
      </c>
      <c r="B508" s="15" t="s">
        <v>1091</v>
      </c>
      <c r="C508" s="16" t="s">
        <v>608</v>
      </c>
      <c r="D508" s="16">
        <v>3.5000000000000003E-2</v>
      </c>
    </row>
    <row r="509" spans="1:4" ht="14.1" customHeight="1">
      <c r="A509" s="14">
        <f t="shared" si="8"/>
        <v>505</v>
      </c>
      <c r="B509" s="15" t="s">
        <v>1092</v>
      </c>
      <c r="C509" s="16" t="s">
        <v>608</v>
      </c>
      <c r="D509" s="16">
        <v>3.4000000000000002E-2</v>
      </c>
    </row>
    <row r="510" spans="1:4" ht="14.1" customHeight="1">
      <c r="A510" s="14">
        <f t="shared" si="8"/>
        <v>506</v>
      </c>
      <c r="B510" s="15" t="s">
        <v>1093</v>
      </c>
      <c r="C510" s="16" t="s">
        <v>608</v>
      </c>
      <c r="D510" s="16">
        <v>3.4000000000000002E-2</v>
      </c>
    </row>
    <row r="511" spans="1:4" ht="14.1" customHeight="1">
      <c r="A511" s="14">
        <f t="shared" si="8"/>
        <v>507</v>
      </c>
      <c r="B511" s="15" t="s">
        <v>1094</v>
      </c>
      <c r="C511" s="16" t="s">
        <v>608</v>
      </c>
      <c r="D511" s="16">
        <v>3.3000000000000002E-2</v>
      </c>
    </row>
    <row r="512" spans="1:4" ht="14.1" customHeight="1">
      <c r="A512" s="14">
        <f t="shared" si="8"/>
        <v>508</v>
      </c>
      <c r="B512" s="15" t="s">
        <v>1095</v>
      </c>
      <c r="C512" s="16" t="s">
        <v>608</v>
      </c>
      <c r="D512" s="16">
        <v>3.2000000000000001E-2</v>
      </c>
    </row>
    <row r="513" spans="1:4" ht="14.1" customHeight="1">
      <c r="A513" s="14">
        <f t="shared" si="8"/>
        <v>509</v>
      </c>
      <c r="B513" s="15" t="s">
        <v>1096</v>
      </c>
      <c r="C513" s="16" t="s">
        <v>608</v>
      </c>
      <c r="D513" s="16">
        <v>3.4000000000000002E-2</v>
      </c>
    </row>
    <row r="514" spans="1:4" ht="14.1" customHeight="1">
      <c r="A514" s="14">
        <f t="shared" si="8"/>
        <v>510</v>
      </c>
      <c r="B514" s="15" t="s">
        <v>1097</v>
      </c>
      <c r="C514" s="16" t="s">
        <v>608</v>
      </c>
      <c r="D514" s="16">
        <v>3.4000000000000002E-2</v>
      </c>
    </row>
    <row r="515" spans="1:4" ht="14.1" customHeight="1">
      <c r="A515" s="14">
        <f t="shared" si="8"/>
        <v>511</v>
      </c>
      <c r="B515" s="15" t="s">
        <v>1098</v>
      </c>
      <c r="C515" s="16" t="s">
        <v>608</v>
      </c>
      <c r="D515" s="16">
        <v>3.3000000000000002E-2</v>
      </c>
    </row>
    <row r="516" spans="1:4" ht="14.1" customHeight="1">
      <c r="A516" s="14">
        <f t="shared" si="8"/>
        <v>512</v>
      </c>
      <c r="B516" s="15" t="s">
        <v>1099</v>
      </c>
      <c r="C516" s="16" t="s">
        <v>608</v>
      </c>
      <c r="D516" s="16">
        <v>5.0999999999999997E-2</v>
      </c>
    </row>
    <row r="517" spans="1:4" ht="14.1" customHeight="1">
      <c r="A517" s="14">
        <f t="shared" si="8"/>
        <v>513</v>
      </c>
      <c r="B517" s="15" t="s">
        <v>1100</v>
      </c>
      <c r="C517" s="16" t="s">
        <v>608</v>
      </c>
      <c r="D517" s="16">
        <v>4.7E-2</v>
      </c>
    </row>
    <row r="518" spans="1:4" ht="14.1" customHeight="1">
      <c r="A518" s="14">
        <f t="shared" si="8"/>
        <v>514</v>
      </c>
      <c r="B518" s="15" t="s">
        <v>1101</v>
      </c>
      <c r="C518" s="16" t="s">
        <v>608</v>
      </c>
      <c r="D518" s="16">
        <v>4.4999999999999998E-2</v>
      </c>
    </row>
    <row r="519" spans="1:4" ht="14.1" customHeight="1">
      <c r="A519" s="14">
        <f t="shared" si="8"/>
        <v>515</v>
      </c>
      <c r="B519" s="15" t="s">
        <v>1102</v>
      </c>
      <c r="C519" s="16" t="s">
        <v>608</v>
      </c>
      <c r="D519" s="16">
        <v>5.2999999999999999E-2</v>
      </c>
    </row>
    <row r="520" spans="1:4" ht="14.1" customHeight="1">
      <c r="A520" s="14">
        <f t="shared" si="8"/>
        <v>516</v>
      </c>
      <c r="B520" s="15" t="s">
        <v>1103</v>
      </c>
      <c r="C520" s="16" t="s">
        <v>608</v>
      </c>
      <c r="D520" s="16">
        <v>4.9000000000000002E-2</v>
      </c>
    </row>
    <row r="521" spans="1:4" ht="14.1" customHeight="1">
      <c r="A521" s="14">
        <f t="shared" si="8"/>
        <v>517</v>
      </c>
      <c r="B521" s="15" t="s">
        <v>1104</v>
      </c>
      <c r="C521" s="16" t="s">
        <v>608</v>
      </c>
      <c r="D521" s="16">
        <v>4.5999999999999999E-2</v>
      </c>
    </row>
    <row r="522" spans="1:4" ht="14.1" customHeight="1">
      <c r="A522" s="14">
        <f t="shared" si="8"/>
        <v>518</v>
      </c>
      <c r="B522" s="15" t="s">
        <v>1105</v>
      </c>
      <c r="C522" s="16" t="s">
        <v>608</v>
      </c>
      <c r="D522" s="16">
        <v>4.8000000000000001E-2</v>
      </c>
    </row>
    <row r="523" spans="1:4" ht="14.1" customHeight="1">
      <c r="A523" s="14">
        <f t="shared" si="8"/>
        <v>519</v>
      </c>
      <c r="B523" s="15" t="s">
        <v>1106</v>
      </c>
      <c r="C523" s="16" t="s">
        <v>608</v>
      </c>
      <c r="D523" s="16">
        <v>4.4999999999999998E-2</v>
      </c>
    </row>
    <row r="524" spans="1:4" ht="14.1" customHeight="1">
      <c r="A524" s="14">
        <f t="shared" si="8"/>
        <v>520</v>
      </c>
      <c r="B524" s="15" t="s">
        <v>1107</v>
      </c>
      <c r="C524" s="16" t="s">
        <v>608</v>
      </c>
      <c r="D524" s="16">
        <v>4.2999999999999997E-2</v>
      </c>
    </row>
    <row r="525" spans="1:4" ht="14.1" customHeight="1">
      <c r="A525" s="14">
        <f t="shared" si="8"/>
        <v>521</v>
      </c>
      <c r="B525" s="15" t="s">
        <v>1108</v>
      </c>
      <c r="C525" s="16" t="s">
        <v>608</v>
      </c>
      <c r="D525" s="16">
        <v>4.9000000000000002E-2</v>
      </c>
    </row>
    <row r="526" spans="1:4" ht="14.1" customHeight="1">
      <c r="A526" s="14">
        <f t="shared" si="8"/>
        <v>522</v>
      </c>
      <c r="B526" s="15" t="s">
        <v>1109</v>
      </c>
      <c r="C526" s="16" t="s">
        <v>608</v>
      </c>
      <c r="D526" s="16">
        <v>4.5999999999999999E-2</v>
      </c>
    </row>
    <row r="527" spans="1:4" ht="14.1" customHeight="1">
      <c r="A527" s="14">
        <f t="shared" si="8"/>
        <v>523</v>
      </c>
      <c r="B527" s="15" t="s">
        <v>1110</v>
      </c>
      <c r="C527" s="16" t="s">
        <v>608</v>
      </c>
      <c r="D527" s="16">
        <v>4.3999999999999997E-2</v>
      </c>
    </row>
    <row r="528" spans="1:4" ht="14.1" customHeight="1">
      <c r="A528" s="14">
        <f t="shared" si="8"/>
        <v>524</v>
      </c>
      <c r="B528" s="15" t="s">
        <v>1111</v>
      </c>
      <c r="C528" s="16" t="s">
        <v>608</v>
      </c>
      <c r="D528" s="16">
        <v>4.4999999999999998E-2</v>
      </c>
    </row>
    <row r="529" spans="1:4" ht="14.1" customHeight="1">
      <c r="A529" s="14">
        <f t="shared" si="8"/>
        <v>525</v>
      </c>
      <c r="B529" s="15" t="s">
        <v>1112</v>
      </c>
      <c r="C529" s="16" t="s">
        <v>608</v>
      </c>
      <c r="D529" s="16">
        <v>4.2999999999999997E-2</v>
      </c>
    </row>
    <row r="530" spans="1:4" ht="14.1" customHeight="1">
      <c r="A530" s="14">
        <f t="shared" si="8"/>
        <v>526</v>
      </c>
      <c r="B530" s="15" t="s">
        <v>1113</v>
      </c>
      <c r="C530" s="16" t="s">
        <v>608</v>
      </c>
      <c r="D530" s="16">
        <v>4.1000000000000002E-2</v>
      </c>
    </row>
    <row r="531" spans="1:4" ht="14.1" customHeight="1">
      <c r="A531" s="14">
        <f t="shared" si="8"/>
        <v>527</v>
      </c>
      <c r="B531" s="15" t="s">
        <v>1114</v>
      </c>
      <c r="C531" s="16" t="s">
        <v>608</v>
      </c>
      <c r="D531" s="16">
        <v>4.7E-2</v>
      </c>
    </row>
    <row r="532" spans="1:4" ht="14.1" customHeight="1">
      <c r="A532" s="14">
        <f t="shared" si="8"/>
        <v>528</v>
      </c>
      <c r="B532" s="15" t="s">
        <v>1115</v>
      </c>
      <c r="C532" s="16" t="s">
        <v>608</v>
      </c>
      <c r="D532" s="16">
        <v>4.3999999999999997E-2</v>
      </c>
    </row>
    <row r="533" spans="1:4" ht="14.1" customHeight="1">
      <c r="A533" s="14">
        <f t="shared" si="8"/>
        <v>529</v>
      </c>
      <c r="B533" s="15" t="s">
        <v>1116</v>
      </c>
      <c r="C533" s="16" t="s">
        <v>608</v>
      </c>
      <c r="D533" s="16">
        <v>4.2000000000000003E-2</v>
      </c>
    </row>
    <row r="534" spans="1:4" ht="14.1" customHeight="1">
      <c r="A534" s="14">
        <f t="shared" si="8"/>
        <v>530</v>
      </c>
      <c r="B534" s="15" t="s">
        <v>1117</v>
      </c>
      <c r="C534" s="16" t="s">
        <v>608</v>
      </c>
      <c r="D534" s="16">
        <v>4.2999999999999997E-2</v>
      </c>
    </row>
    <row r="535" spans="1:4" ht="14.1" customHeight="1">
      <c r="A535" s="14">
        <f t="shared" si="8"/>
        <v>531</v>
      </c>
      <c r="B535" s="15" t="s">
        <v>1118</v>
      </c>
      <c r="C535" s="16" t="s">
        <v>608</v>
      </c>
      <c r="D535" s="16">
        <v>4.1000000000000002E-2</v>
      </c>
    </row>
    <row r="536" spans="1:4" ht="14.1" customHeight="1">
      <c r="A536" s="14">
        <f t="shared" si="8"/>
        <v>532</v>
      </c>
      <c r="B536" s="15" t="s">
        <v>1119</v>
      </c>
      <c r="C536" s="16" t="s">
        <v>608</v>
      </c>
      <c r="D536" s="16">
        <v>3.9E-2</v>
      </c>
    </row>
    <row r="537" spans="1:4" ht="14.1" customHeight="1">
      <c r="A537" s="14">
        <f t="shared" si="8"/>
        <v>533</v>
      </c>
      <c r="B537" s="15" t="s">
        <v>1120</v>
      </c>
      <c r="C537" s="16" t="s">
        <v>608</v>
      </c>
      <c r="D537" s="16">
        <v>4.3999999999999997E-2</v>
      </c>
    </row>
    <row r="538" spans="1:4" ht="14.1" customHeight="1">
      <c r="A538" s="14">
        <f t="shared" si="8"/>
        <v>534</v>
      </c>
      <c r="B538" s="15" t="s">
        <v>1121</v>
      </c>
      <c r="C538" s="16" t="s">
        <v>608</v>
      </c>
      <c r="D538" s="16">
        <v>4.2000000000000003E-2</v>
      </c>
    </row>
    <row r="539" spans="1:4" ht="14.1" customHeight="1">
      <c r="A539" s="14">
        <f t="shared" si="8"/>
        <v>535</v>
      </c>
      <c r="B539" s="15" t="s">
        <v>1122</v>
      </c>
      <c r="C539" s="16" t="s">
        <v>608</v>
      </c>
      <c r="D539" s="16">
        <v>0.04</v>
      </c>
    </row>
    <row r="540" spans="1:4" ht="14.1" customHeight="1">
      <c r="A540" s="14">
        <f t="shared" si="8"/>
        <v>536</v>
      </c>
      <c r="B540" s="15" t="s">
        <v>1123</v>
      </c>
      <c r="C540" s="16" t="s">
        <v>608</v>
      </c>
      <c r="D540" s="16">
        <v>4.1000000000000002E-2</v>
      </c>
    </row>
    <row r="541" spans="1:4" ht="14.1" customHeight="1">
      <c r="A541" s="14">
        <f t="shared" si="8"/>
        <v>537</v>
      </c>
      <c r="B541" s="15" t="s">
        <v>1124</v>
      </c>
      <c r="C541" s="16" t="s">
        <v>608</v>
      </c>
      <c r="D541" s="16">
        <v>3.9E-2</v>
      </c>
    </row>
    <row r="542" spans="1:4" ht="14.1" customHeight="1">
      <c r="A542" s="14">
        <f t="shared" si="8"/>
        <v>538</v>
      </c>
      <c r="B542" s="15" t="s">
        <v>1125</v>
      </c>
      <c r="C542" s="16" t="s">
        <v>608</v>
      </c>
      <c r="D542" s="16">
        <v>3.6999999999999998E-2</v>
      </c>
    </row>
    <row r="543" spans="1:4" ht="14.1" customHeight="1">
      <c r="A543" s="14">
        <f t="shared" si="8"/>
        <v>539</v>
      </c>
      <c r="B543" s="15" t="s">
        <v>1126</v>
      </c>
      <c r="C543" s="16" t="s">
        <v>608</v>
      </c>
      <c r="D543" s="16">
        <v>4.2000000000000003E-2</v>
      </c>
    </row>
    <row r="544" spans="1:4" ht="14.1" customHeight="1">
      <c r="A544" s="14">
        <f t="shared" si="8"/>
        <v>540</v>
      </c>
      <c r="B544" s="15" t="s">
        <v>1127</v>
      </c>
      <c r="C544" s="16" t="s">
        <v>608</v>
      </c>
      <c r="D544" s="16">
        <v>0.04</v>
      </c>
    </row>
    <row r="545" spans="1:4" ht="14.1" customHeight="1">
      <c r="A545" s="14">
        <f t="shared" si="8"/>
        <v>541</v>
      </c>
      <c r="B545" s="15" t="s">
        <v>1128</v>
      </c>
      <c r="C545" s="16" t="s">
        <v>608</v>
      </c>
      <c r="D545" s="16">
        <v>3.7999999999999999E-2</v>
      </c>
    </row>
    <row r="546" spans="1:4" ht="14.1" customHeight="1">
      <c r="A546" s="14">
        <f t="shared" si="8"/>
        <v>542</v>
      </c>
      <c r="B546" s="15" t="s">
        <v>1129</v>
      </c>
      <c r="C546" s="16" t="s">
        <v>608</v>
      </c>
      <c r="D546" s="16">
        <v>3.9E-2</v>
      </c>
    </row>
    <row r="547" spans="1:4" ht="14.1" customHeight="1">
      <c r="A547" s="14">
        <f t="shared" si="8"/>
        <v>543</v>
      </c>
      <c r="B547" s="15" t="s">
        <v>1130</v>
      </c>
      <c r="C547" s="16" t="s">
        <v>608</v>
      </c>
      <c r="D547" s="16">
        <v>3.6999999999999998E-2</v>
      </c>
    </row>
    <row r="548" spans="1:4" ht="14.1" customHeight="1">
      <c r="A548" s="14">
        <f t="shared" si="8"/>
        <v>544</v>
      </c>
      <c r="B548" s="15" t="s">
        <v>1131</v>
      </c>
      <c r="C548" s="16" t="s">
        <v>608</v>
      </c>
      <c r="D548" s="16">
        <v>3.5999999999999997E-2</v>
      </c>
    </row>
    <row r="549" spans="1:4" ht="14.1" customHeight="1">
      <c r="A549" s="14">
        <f t="shared" ref="A549:A612" si="9">A548+1</f>
        <v>545</v>
      </c>
      <c r="B549" s="15" t="s">
        <v>1132</v>
      </c>
      <c r="C549" s="16" t="s">
        <v>608</v>
      </c>
      <c r="D549" s="16">
        <v>0.04</v>
      </c>
    </row>
    <row r="550" spans="1:4" ht="14.1" customHeight="1">
      <c r="A550" s="14">
        <f t="shared" si="9"/>
        <v>546</v>
      </c>
      <c r="B550" s="15" t="s">
        <v>1133</v>
      </c>
      <c r="C550" s="16" t="s">
        <v>608</v>
      </c>
      <c r="D550" s="16">
        <v>3.7999999999999999E-2</v>
      </c>
    </row>
    <row r="551" spans="1:4" ht="14.1" customHeight="1">
      <c r="A551" s="14">
        <f t="shared" si="9"/>
        <v>547</v>
      </c>
      <c r="B551" s="15" t="s">
        <v>1134</v>
      </c>
      <c r="C551" s="16" t="s">
        <v>608</v>
      </c>
      <c r="D551" s="16">
        <v>3.6999999999999998E-2</v>
      </c>
    </row>
    <row r="552" spans="1:4" ht="14.1" customHeight="1">
      <c r="A552" s="14">
        <f t="shared" si="9"/>
        <v>548</v>
      </c>
      <c r="B552" s="15" t="s">
        <v>1135</v>
      </c>
      <c r="C552" s="16" t="s">
        <v>608</v>
      </c>
      <c r="D552" s="16">
        <v>3.6999999999999998E-2</v>
      </c>
    </row>
    <row r="553" spans="1:4" ht="14.1" customHeight="1">
      <c r="A553" s="14">
        <f t="shared" si="9"/>
        <v>549</v>
      </c>
      <c r="B553" s="15" t="s">
        <v>1136</v>
      </c>
      <c r="C553" s="16" t="s">
        <v>608</v>
      </c>
      <c r="D553" s="16">
        <v>3.5999999999999997E-2</v>
      </c>
    </row>
    <row r="554" spans="1:4" ht="14.1" customHeight="1">
      <c r="A554" s="14">
        <f t="shared" si="9"/>
        <v>550</v>
      </c>
      <c r="B554" s="15" t="s">
        <v>1137</v>
      </c>
      <c r="C554" s="16" t="s">
        <v>608</v>
      </c>
      <c r="D554" s="16">
        <v>3.5000000000000003E-2</v>
      </c>
    </row>
    <row r="555" spans="1:4" ht="14.1" customHeight="1">
      <c r="A555" s="14">
        <f t="shared" si="9"/>
        <v>551</v>
      </c>
      <c r="B555" s="15" t="s">
        <v>1138</v>
      </c>
      <c r="C555" s="16" t="s">
        <v>608</v>
      </c>
      <c r="D555" s="16">
        <v>3.7999999999999999E-2</v>
      </c>
    </row>
    <row r="556" spans="1:4" ht="14.1" customHeight="1">
      <c r="A556" s="14">
        <f t="shared" si="9"/>
        <v>552</v>
      </c>
      <c r="B556" s="15" t="s">
        <v>1139</v>
      </c>
      <c r="C556" s="16" t="s">
        <v>608</v>
      </c>
      <c r="D556" s="16">
        <v>3.6999999999999998E-2</v>
      </c>
    </row>
    <row r="557" spans="1:4" ht="14.1" customHeight="1">
      <c r="A557" s="14">
        <f t="shared" si="9"/>
        <v>553</v>
      </c>
      <c r="B557" s="15" t="s">
        <v>1140</v>
      </c>
      <c r="C557" s="16" t="s">
        <v>608</v>
      </c>
      <c r="D557" s="16">
        <v>3.5999999999999997E-2</v>
      </c>
    </row>
    <row r="558" spans="1:4" ht="14.1" customHeight="1">
      <c r="A558" s="14">
        <f t="shared" si="9"/>
        <v>554</v>
      </c>
      <c r="B558" s="15" t="s">
        <v>1141</v>
      </c>
      <c r="C558" s="16" t="s">
        <v>608</v>
      </c>
      <c r="D558" s="16">
        <v>3.5999999999999997E-2</v>
      </c>
    </row>
    <row r="559" spans="1:4" ht="14.1" customHeight="1">
      <c r="A559" s="14">
        <f t="shared" si="9"/>
        <v>555</v>
      </c>
      <c r="B559" s="15" t="s">
        <v>1142</v>
      </c>
      <c r="C559" s="16" t="s">
        <v>608</v>
      </c>
      <c r="D559" s="16">
        <v>3.5000000000000003E-2</v>
      </c>
    </row>
    <row r="560" spans="1:4" ht="14.1" customHeight="1">
      <c r="A560" s="14">
        <f t="shared" si="9"/>
        <v>556</v>
      </c>
      <c r="B560" s="15" t="s">
        <v>1143</v>
      </c>
      <c r="C560" s="16" t="s">
        <v>608</v>
      </c>
      <c r="D560" s="16">
        <v>3.3000000000000002E-2</v>
      </c>
    </row>
    <row r="561" spans="1:4" ht="14.1" customHeight="1">
      <c r="A561" s="14">
        <f t="shared" si="9"/>
        <v>557</v>
      </c>
      <c r="B561" s="15" t="s">
        <v>1144</v>
      </c>
      <c r="C561" s="16" t="s">
        <v>608</v>
      </c>
      <c r="D561" s="16">
        <v>3.6999999999999998E-2</v>
      </c>
    </row>
    <row r="562" spans="1:4" ht="14.1" customHeight="1">
      <c r="A562" s="14">
        <f t="shared" si="9"/>
        <v>558</v>
      </c>
      <c r="B562" s="15" t="s">
        <v>1145</v>
      </c>
      <c r="C562" s="16" t="s">
        <v>608</v>
      </c>
      <c r="D562" s="16">
        <v>3.5000000000000003E-2</v>
      </c>
    </row>
    <row r="563" spans="1:4" ht="14.1" customHeight="1">
      <c r="A563" s="14">
        <f t="shared" si="9"/>
        <v>559</v>
      </c>
      <c r="B563" s="15" t="s">
        <v>1146</v>
      </c>
      <c r="C563" s="16" t="s">
        <v>608</v>
      </c>
      <c r="D563" s="16">
        <v>3.4000000000000002E-2</v>
      </c>
    </row>
    <row r="564" spans="1:4" ht="14.1" customHeight="1">
      <c r="A564" s="14">
        <f t="shared" si="9"/>
        <v>560</v>
      </c>
      <c r="B564" s="15" t="s">
        <v>1147</v>
      </c>
      <c r="C564" s="16" t="s">
        <v>608</v>
      </c>
      <c r="D564" s="16">
        <v>3.5000000000000003E-2</v>
      </c>
    </row>
    <row r="565" spans="1:4" ht="14.1" customHeight="1">
      <c r="A565" s="14">
        <f t="shared" si="9"/>
        <v>561</v>
      </c>
      <c r="B565" s="15" t="s">
        <v>1148</v>
      </c>
      <c r="C565" s="16" t="s">
        <v>608</v>
      </c>
      <c r="D565" s="16">
        <v>3.3000000000000002E-2</v>
      </c>
    </row>
    <row r="566" spans="1:4" ht="14.1" customHeight="1">
      <c r="A566" s="14">
        <f t="shared" si="9"/>
        <v>562</v>
      </c>
      <c r="B566" s="15" t="s">
        <v>1149</v>
      </c>
      <c r="C566" s="16" t="s">
        <v>608</v>
      </c>
      <c r="D566" s="16">
        <v>3.2000000000000001E-2</v>
      </c>
    </row>
    <row r="567" spans="1:4" ht="14.1" customHeight="1">
      <c r="A567" s="14">
        <f t="shared" si="9"/>
        <v>563</v>
      </c>
      <c r="B567" s="15" t="s">
        <v>1150</v>
      </c>
      <c r="C567" s="16" t="s">
        <v>608</v>
      </c>
      <c r="D567" s="16">
        <v>3.5000000000000003E-2</v>
      </c>
    </row>
    <row r="568" spans="1:4" ht="14.1" customHeight="1">
      <c r="A568" s="14">
        <f t="shared" si="9"/>
        <v>564</v>
      </c>
      <c r="B568" s="15" t="s">
        <v>1151</v>
      </c>
      <c r="C568" s="16" t="s">
        <v>608</v>
      </c>
      <c r="D568" s="16">
        <v>3.4000000000000002E-2</v>
      </c>
    </row>
    <row r="569" spans="1:4" ht="14.1" customHeight="1">
      <c r="A569" s="14">
        <f t="shared" si="9"/>
        <v>565</v>
      </c>
      <c r="B569" s="15" t="s">
        <v>1152</v>
      </c>
      <c r="C569" s="16" t="s">
        <v>608</v>
      </c>
      <c r="D569" s="16">
        <v>3.3000000000000002E-2</v>
      </c>
    </row>
    <row r="570" spans="1:4" ht="14.1" customHeight="1">
      <c r="A570" s="14">
        <f t="shared" si="9"/>
        <v>566</v>
      </c>
      <c r="B570" s="15" t="s">
        <v>1153</v>
      </c>
      <c r="C570" s="16" t="s">
        <v>608</v>
      </c>
      <c r="D570" s="16">
        <v>3.3000000000000002E-2</v>
      </c>
    </row>
    <row r="571" spans="1:4" ht="14.1" customHeight="1">
      <c r="A571" s="14">
        <f t="shared" si="9"/>
        <v>567</v>
      </c>
      <c r="B571" s="15" t="s">
        <v>1154</v>
      </c>
      <c r="C571" s="16" t="s">
        <v>608</v>
      </c>
      <c r="D571" s="16">
        <v>3.2000000000000001E-2</v>
      </c>
    </row>
    <row r="572" spans="1:4" ht="14.1" customHeight="1">
      <c r="A572" s="14">
        <f t="shared" si="9"/>
        <v>568</v>
      </c>
      <c r="B572" s="15" t="s">
        <v>1155</v>
      </c>
      <c r="C572" s="16" t="s">
        <v>608</v>
      </c>
      <c r="D572" s="16">
        <v>3.1E-2</v>
      </c>
    </row>
    <row r="573" spans="1:4" ht="14.1" customHeight="1">
      <c r="A573" s="14">
        <f t="shared" si="9"/>
        <v>569</v>
      </c>
      <c r="B573" s="15" t="s">
        <v>1156</v>
      </c>
      <c r="C573" s="16" t="s">
        <v>608</v>
      </c>
      <c r="D573" s="16">
        <v>3.4000000000000002E-2</v>
      </c>
    </row>
    <row r="574" spans="1:4" ht="14.1" customHeight="1">
      <c r="A574" s="14">
        <f t="shared" si="9"/>
        <v>570</v>
      </c>
      <c r="B574" s="15" t="s">
        <v>1157</v>
      </c>
      <c r="C574" s="16" t="s">
        <v>608</v>
      </c>
      <c r="D574" s="16">
        <v>3.3000000000000002E-2</v>
      </c>
    </row>
    <row r="575" spans="1:4" ht="14.1" customHeight="1">
      <c r="A575" s="14">
        <f t="shared" si="9"/>
        <v>571</v>
      </c>
      <c r="B575" s="15" t="s">
        <v>1158</v>
      </c>
      <c r="C575" s="16" t="s">
        <v>608</v>
      </c>
      <c r="D575" s="16">
        <v>3.2000000000000001E-2</v>
      </c>
    </row>
    <row r="576" spans="1:4" ht="14.1" customHeight="1">
      <c r="A576" s="14">
        <f t="shared" si="9"/>
        <v>572</v>
      </c>
      <c r="B576" s="15" t="s">
        <v>1159</v>
      </c>
      <c r="C576" s="16" t="s">
        <v>608</v>
      </c>
      <c r="D576" s="16">
        <v>3.2000000000000001E-2</v>
      </c>
    </row>
    <row r="577" spans="1:4" ht="14.1" customHeight="1">
      <c r="A577" s="14">
        <f t="shared" si="9"/>
        <v>573</v>
      </c>
      <c r="B577" s="15" t="s">
        <v>1160</v>
      </c>
      <c r="C577" s="16" t="s">
        <v>608</v>
      </c>
      <c r="D577" s="16">
        <v>3.1E-2</v>
      </c>
    </row>
    <row r="578" spans="1:4" ht="14.1" customHeight="1">
      <c r="A578" s="14">
        <f t="shared" si="9"/>
        <v>574</v>
      </c>
      <c r="B578" s="15" t="s">
        <v>1161</v>
      </c>
      <c r="C578" s="16" t="s">
        <v>608</v>
      </c>
      <c r="D578" s="16">
        <v>0.03</v>
      </c>
    </row>
    <row r="579" spans="1:4" ht="14.1" customHeight="1">
      <c r="A579" s="14">
        <f t="shared" si="9"/>
        <v>575</v>
      </c>
      <c r="B579" s="15" t="s">
        <v>1162</v>
      </c>
      <c r="C579" s="16" t="s">
        <v>608</v>
      </c>
      <c r="D579" s="16">
        <v>3.3000000000000002E-2</v>
      </c>
    </row>
    <row r="580" spans="1:4" ht="14.1" customHeight="1">
      <c r="A580" s="14">
        <f t="shared" si="9"/>
        <v>576</v>
      </c>
      <c r="B580" s="15" t="s">
        <v>1163</v>
      </c>
      <c r="C580" s="16" t="s">
        <v>608</v>
      </c>
      <c r="D580" s="16">
        <v>3.2000000000000001E-2</v>
      </c>
    </row>
    <row r="581" spans="1:4" ht="14.1" customHeight="1">
      <c r="A581" s="14">
        <f t="shared" si="9"/>
        <v>577</v>
      </c>
      <c r="B581" s="15" t="s">
        <v>1164</v>
      </c>
      <c r="C581" s="16" t="s">
        <v>608</v>
      </c>
      <c r="D581" s="16">
        <v>3.1E-2</v>
      </c>
    </row>
    <row r="582" spans="1:4" ht="14.1" customHeight="1">
      <c r="A582" s="14">
        <f t="shared" si="9"/>
        <v>578</v>
      </c>
      <c r="B582" s="15" t="s">
        <v>1165</v>
      </c>
      <c r="C582" s="16" t="s">
        <v>608</v>
      </c>
      <c r="D582" s="16">
        <v>3.1E-2</v>
      </c>
    </row>
    <row r="583" spans="1:4" ht="14.1" customHeight="1">
      <c r="A583" s="14">
        <f t="shared" si="9"/>
        <v>579</v>
      </c>
      <c r="B583" s="15" t="s">
        <v>1166</v>
      </c>
      <c r="C583" s="16" t="s">
        <v>608</v>
      </c>
      <c r="D583" s="16">
        <v>0.03</v>
      </c>
    </row>
    <row r="584" spans="1:4" ht="14.1" customHeight="1">
      <c r="A584" s="14">
        <f t="shared" si="9"/>
        <v>580</v>
      </c>
      <c r="B584" s="15" t="s">
        <v>1167</v>
      </c>
      <c r="C584" s="16" t="s">
        <v>608</v>
      </c>
      <c r="D584" s="16">
        <v>2.9000000000000001E-2</v>
      </c>
    </row>
    <row r="585" spans="1:4" ht="14.1" customHeight="1">
      <c r="A585" s="14">
        <f t="shared" si="9"/>
        <v>581</v>
      </c>
      <c r="B585" s="15" t="s">
        <v>1168</v>
      </c>
      <c r="C585" s="16" t="s">
        <v>608</v>
      </c>
      <c r="D585" s="16">
        <v>3.2000000000000001E-2</v>
      </c>
    </row>
    <row r="586" spans="1:4" ht="14.1" customHeight="1">
      <c r="A586" s="14">
        <f t="shared" si="9"/>
        <v>582</v>
      </c>
      <c r="B586" s="15" t="s">
        <v>1169</v>
      </c>
      <c r="C586" s="16" t="s">
        <v>608</v>
      </c>
      <c r="D586" s="16">
        <v>3.1E-2</v>
      </c>
    </row>
    <row r="587" spans="1:4" ht="14.1" customHeight="1">
      <c r="A587" s="14">
        <f t="shared" si="9"/>
        <v>583</v>
      </c>
      <c r="B587" s="15" t="s">
        <v>1170</v>
      </c>
      <c r="C587" s="16" t="s">
        <v>608</v>
      </c>
      <c r="D587" s="16">
        <v>0.03</v>
      </c>
    </row>
    <row r="588" spans="1:4" ht="14.1" customHeight="1">
      <c r="A588" s="14">
        <f t="shared" si="9"/>
        <v>584</v>
      </c>
      <c r="B588" s="15" t="s">
        <v>1171</v>
      </c>
      <c r="C588" s="16" t="s">
        <v>608</v>
      </c>
      <c r="D588" s="16">
        <v>0.03</v>
      </c>
    </row>
    <row r="589" spans="1:4" ht="14.1" customHeight="1">
      <c r="A589" s="14">
        <f t="shared" si="9"/>
        <v>585</v>
      </c>
      <c r="B589" s="15" t="s">
        <v>1172</v>
      </c>
      <c r="C589" s="16" t="s">
        <v>608</v>
      </c>
      <c r="D589" s="16">
        <v>2.9000000000000001E-2</v>
      </c>
    </row>
    <row r="590" spans="1:4" ht="14.1" customHeight="1">
      <c r="A590" s="14">
        <f t="shared" si="9"/>
        <v>586</v>
      </c>
      <c r="B590" s="15" t="s">
        <v>1173</v>
      </c>
      <c r="C590" s="16" t="s">
        <v>608</v>
      </c>
      <c r="D590" s="16">
        <v>2.8000000000000001E-2</v>
      </c>
    </row>
    <row r="591" spans="1:4" ht="14.1" customHeight="1">
      <c r="A591" s="14">
        <f t="shared" si="9"/>
        <v>587</v>
      </c>
      <c r="B591" s="15" t="s">
        <v>1174</v>
      </c>
      <c r="C591" s="16" t="s">
        <v>608</v>
      </c>
      <c r="D591" s="16">
        <v>3.1E-2</v>
      </c>
    </row>
    <row r="592" spans="1:4" ht="14.1" customHeight="1">
      <c r="A592" s="14">
        <f t="shared" si="9"/>
        <v>588</v>
      </c>
      <c r="B592" s="15" t="s">
        <v>1175</v>
      </c>
      <c r="C592" s="16" t="s">
        <v>608</v>
      </c>
      <c r="D592" s="16">
        <v>0.03</v>
      </c>
    </row>
    <row r="593" spans="1:4" ht="14.1" customHeight="1">
      <c r="A593" s="14">
        <f t="shared" si="9"/>
        <v>589</v>
      </c>
      <c r="B593" s="15" t="s">
        <v>1176</v>
      </c>
      <c r="C593" s="16" t="s">
        <v>608</v>
      </c>
      <c r="D593" s="16">
        <v>2.9000000000000001E-2</v>
      </c>
    </row>
    <row r="594" spans="1:4" ht="14.1" customHeight="1">
      <c r="A594" s="14">
        <f t="shared" si="9"/>
        <v>590</v>
      </c>
      <c r="B594" s="15" t="s">
        <v>1177</v>
      </c>
      <c r="C594" s="16" t="s">
        <v>608</v>
      </c>
      <c r="D594" s="16">
        <v>0.36</v>
      </c>
    </row>
    <row r="595" spans="1:4" ht="14.1" customHeight="1">
      <c r="A595" s="14">
        <f t="shared" si="9"/>
        <v>591</v>
      </c>
      <c r="B595" s="15" t="s">
        <v>1178</v>
      </c>
      <c r="C595" s="16" t="s">
        <v>608</v>
      </c>
      <c r="D595" s="16">
        <v>3.5000000000000003E-2</v>
      </c>
    </row>
    <row r="596" spans="1:4" ht="14.1" customHeight="1">
      <c r="A596" s="14">
        <f t="shared" si="9"/>
        <v>592</v>
      </c>
      <c r="B596" s="15" t="s">
        <v>1179</v>
      </c>
      <c r="C596" s="16" t="s">
        <v>608</v>
      </c>
      <c r="D596" s="16">
        <v>3.7999999999999999E-2</v>
      </c>
    </row>
    <row r="597" spans="1:4" ht="14.1" customHeight="1">
      <c r="A597" s="14">
        <f t="shared" si="9"/>
        <v>593</v>
      </c>
      <c r="B597" s="15" t="s">
        <v>1180</v>
      </c>
      <c r="C597" s="16" t="s">
        <v>608</v>
      </c>
      <c r="D597" s="16">
        <v>3.5999999999999997E-2</v>
      </c>
    </row>
    <row r="598" spans="1:4" ht="14.1" customHeight="1">
      <c r="A598" s="14">
        <f t="shared" si="9"/>
        <v>594</v>
      </c>
      <c r="B598" s="15" t="s">
        <v>1181</v>
      </c>
      <c r="C598" s="16" t="s">
        <v>608</v>
      </c>
      <c r="D598" s="16">
        <v>4.1000000000000002E-2</v>
      </c>
    </row>
    <row r="599" spans="1:4" ht="14.1" customHeight="1">
      <c r="A599" s="14">
        <f t="shared" si="9"/>
        <v>595</v>
      </c>
      <c r="B599" s="15" t="s">
        <v>1182</v>
      </c>
      <c r="C599" s="16" t="s">
        <v>608</v>
      </c>
      <c r="D599" s="16">
        <v>3.9E-2</v>
      </c>
    </row>
    <row r="600" spans="1:4" ht="14.1" customHeight="1">
      <c r="A600" s="14">
        <f t="shared" si="9"/>
        <v>596</v>
      </c>
      <c r="B600" s="15" t="s">
        <v>1183</v>
      </c>
      <c r="C600" s="16" t="s">
        <v>608</v>
      </c>
      <c r="D600" s="16">
        <v>4.2000000000000003E-2</v>
      </c>
    </row>
    <row r="601" spans="1:4" ht="14.1" customHeight="1">
      <c r="A601" s="14">
        <f t="shared" si="9"/>
        <v>597</v>
      </c>
      <c r="B601" s="15" t="s">
        <v>1184</v>
      </c>
      <c r="C601" s="16" t="s">
        <v>608</v>
      </c>
      <c r="D601" s="16">
        <v>0.04</v>
      </c>
    </row>
    <row r="602" spans="1:4" ht="14.1" customHeight="1">
      <c r="A602" s="14">
        <f t="shared" si="9"/>
        <v>598</v>
      </c>
      <c r="B602" s="15" t="s">
        <v>1185</v>
      </c>
      <c r="C602" s="16" t="s">
        <v>608</v>
      </c>
      <c r="D602" s="16">
        <v>0.4</v>
      </c>
    </row>
    <row r="603" spans="1:4" ht="14.1" customHeight="1">
      <c r="A603" s="14">
        <f t="shared" si="9"/>
        <v>599</v>
      </c>
      <c r="B603" s="15" t="s">
        <v>1186</v>
      </c>
      <c r="C603" s="16" t="s">
        <v>608</v>
      </c>
      <c r="D603" s="16">
        <v>0.37</v>
      </c>
    </row>
    <row r="604" spans="1:4" ht="14.1" customHeight="1">
      <c r="A604" s="14">
        <f t="shared" si="9"/>
        <v>600</v>
      </c>
      <c r="B604" s="15" t="s">
        <v>1187</v>
      </c>
      <c r="C604" s="16" t="s">
        <v>608</v>
      </c>
      <c r="D604" s="16">
        <v>4.1000000000000002E-2</v>
      </c>
    </row>
    <row r="605" spans="1:4" ht="14.1" customHeight="1">
      <c r="A605" s="14">
        <f t="shared" si="9"/>
        <v>601</v>
      </c>
      <c r="B605" s="15" t="s">
        <v>1188</v>
      </c>
      <c r="C605" s="16" t="s">
        <v>608</v>
      </c>
      <c r="D605" s="16">
        <v>3.7999999999999999E-2</v>
      </c>
    </row>
    <row r="606" spans="1:4" ht="14.1" customHeight="1">
      <c r="A606" s="14">
        <f t="shared" si="9"/>
        <v>602</v>
      </c>
      <c r="B606" s="15" t="s">
        <v>1189</v>
      </c>
      <c r="C606" s="16" t="s">
        <v>608</v>
      </c>
      <c r="D606" s="16">
        <v>3.4000000000000002E-2</v>
      </c>
    </row>
    <row r="607" spans="1:4" ht="14.1" customHeight="1">
      <c r="A607" s="14">
        <f t="shared" si="9"/>
        <v>603</v>
      </c>
      <c r="B607" s="15" t="s">
        <v>1190</v>
      </c>
      <c r="C607" s="16" t="s">
        <v>608</v>
      </c>
      <c r="D607" s="16">
        <v>3.1E-2</v>
      </c>
    </row>
    <row r="608" spans="1:4" ht="14.1" customHeight="1">
      <c r="A608" s="14">
        <f t="shared" si="9"/>
        <v>604</v>
      </c>
      <c r="B608" s="15" t="s">
        <v>1191</v>
      </c>
      <c r="C608" s="16" t="s">
        <v>608</v>
      </c>
      <c r="D608" s="16">
        <v>3.5000000000000003E-2</v>
      </c>
    </row>
    <row r="609" spans="1:4" ht="14.1" customHeight="1">
      <c r="A609" s="14">
        <f t="shared" si="9"/>
        <v>605</v>
      </c>
      <c r="B609" s="15" t="s">
        <v>1192</v>
      </c>
      <c r="C609" s="16" t="s">
        <v>608</v>
      </c>
      <c r="D609" s="16">
        <v>3.2000000000000001E-2</v>
      </c>
    </row>
    <row r="610" spans="1:4" ht="14.1" customHeight="1">
      <c r="A610" s="14">
        <f t="shared" si="9"/>
        <v>606</v>
      </c>
      <c r="B610" s="15" t="s">
        <v>1193</v>
      </c>
      <c r="C610" s="16" t="s">
        <v>608</v>
      </c>
      <c r="D610" s="16">
        <v>2.9000000000000001E-2</v>
      </c>
    </row>
    <row r="611" spans="1:4" ht="14.1" customHeight="1">
      <c r="A611" s="14">
        <f t="shared" si="9"/>
        <v>607</v>
      </c>
      <c r="B611" s="15" t="s">
        <v>1194</v>
      </c>
      <c r="C611" s="16" t="s">
        <v>608</v>
      </c>
      <c r="D611" s="16">
        <v>2.8000000000000001E-2</v>
      </c>
    </row>
    <row r="612" spans="1:4" ht="14.1" customHeight="1">
      <c r="A612" s="14">
        <f t="shared" si="9"/>
        <v>608</v>
      </c>
      <c r="B612" s="15" t="s">
        <v>1195</v>
      </c>
      <c r="C612" s="16" t="s">
        <v>608</v>
      </c>
      <c r="D612" s="16">
        <v>3.1E-2</v>
      </c>
    </row>
    <row r="613" spans="1:4" ht="14.1" customHeight="1">
      <c r="A613" s="14">
        <f t="shared" ref="A613:A682" si="10">A612+1</f>
        <v>609</v>
      </c>
      <c r="B613" s="15" t="s">
        <v>1196</v>
      </c>
      <c r="C613" s="16" t="s">
        <v>608</v>
      </c>
      <c r="D613" s="16">
        <v>2.9000000000000001E-2</v>
      </c>
    </row>
    <row r="614" spans="1:4" ht="14.1" customHeight="1">
      <c r="A614" s="14">
        <f t="shared" si="10"/>
        <v>610</v>
      </c>
      <c r="B614" s="15" t="s">
        <v>1197</v>
      </c>
      <c r="C614" s="16" t="s">
        <v>608</v>
      </c>
      <c r="D614" s="16">
        <v>2.7E-2</v>
      </c>
    </row>
    <row r="615" spans="1:4" ht="14.1" customHeight="1">
      <c r="A615" s="14">
        <f t="shared" si="10"/>
        <v>611</v>
      </c>
      <c r="B615" s="15" t="s">
        <v>1198</v>
      </c>
      <c r="C615" s="16" t="s">
        <v>608</v>
      </c>
      <c r="D615" s="16">
        <v>2.5999999999999999E-2</v>
      </c>
    </row>
    <row r="616" spans="1:4" ht="14.1" customHeight="1">
      <c r="A616" s="14">
        <f t="shared" si="10"/>
        <v>612</v>
      </c>
      <c r="B616" s="15" t="s">
        <v>1199</v>
      </c>
      <c r="C616" s="16" t="s">
        <v>608</v>
      </c>
      <c r="D616" s="16">
        <v>2.8000000000000001E-2</v>
      </c>
    </row>
    <row r="617" spans="1:4" ht="14.1" customHeight="1">
      <c r="A617" s="14">
        <f t="shared" si="10"/>
        <v>613</v>
      </c>
      <c r="B617" s="15" t="s">
        <v>1200</v>
      </c>
      <c r="C617" s="16" t="s">
        <v>608</v>
      </c>
      <c r="D617" s="16">
        <v>2.7E-2</v>
      </c>
    </row>
    <row r="618" spans="1:4" ht="14.1" customHeight="1">
      <c r="A618" s="14">
        <f t="shared" si="10"/>
        <v>614</v>
      </c>
      <c r="B618" s="15" t="s">
        <v>720</v>
      </c>
      <c r="C618" s="16" t="s">
        <v>608</v>
      </c>
      <c r="D618" s="16">
        <v>2.4E-2</v>
      </c>
    </row>
    <row r="619" spans="1:4" ht="14.1" customHeight="1">
      <c r="A619" s="14">
        <f t="shared" si="10"/>
        <v>615</v>
      </c>
      <c r="B619" s="15" t="s">
        <v>721</v>
      </c>
      <c r="C619" s="16" t="s">
        <v>608</v>
      </c>
      <c r="D619" s="16">
        <v>2.3E-2</v>
      </c>
    </row>
    <row r="620" spans="1:4" ht="14.1" customHeight="1">
      <c r="A620" s="14">
        <f t="shared" si="10"/>
        <v>616</v>
      </c>
      <c r="B620" s="15" t="s">
        <v>722</v>
      </c>
      <c r="C620" s="16" t="s">
        <v>608</v>
      </c>
      <c r="D620" s="16">
        <v>2.5000000000000001E-2</v>
      </c>
    </row>
    <row r="621" spans="1:4" ht="14.1" customHeight="1">
      <c r="A621" s="14">
        <f t="shared" si="10"/>
        <v>617</v>
      </c>
      <c r="B621" s="15" t="s">
        <v>723</v>
      </c>
      <c r="C621" s="16" t="s">
        <v>608</v>
      </c>
      <c r="D621" s="16">
        <v>2.3E-2</v>
      </c>
    </row>
    <row r="622" spans="1:4" ht="14.1" customHeight="1">
      <c r="A622" s="14">
        <f t="shared" si="10"/>
        <v>618</v>
      </c>
      <c r="B622" s="15" t="s">
        <v>724</v>
      </c>
      <c r="C622" s="16" t="s">
        <v>608</v>
      </c>
      <c r="D622" s="16">
        <v>2.1000000000000001E-2</v>
      </c>
    </row>
    <row r="623" spans="1:4" ht="14.1" customHeight="1">
      <c r="A623" s="14">
        <f t="shared" si="10"/>
        <v>619</v>
      </c>
      <c r="B623" s="15" t="s">
        <v>725</v>
      </c>
      <c r="C623" s="16" t="s">
        <v>608</v>
      </c>
      <c r="D623" s="16">
        <v>0.02</v>
      </c>
    </row>
    <row r="624" spans="1:4" ht="14.1" customHeight="1">
      <c r="A624" s="14">
        <f t="shared" si="10"/>
        <v>620</v>
      </c>
      <c r="B624" s="15" t="s">
        <v>726</v>
      </c>
      <c r="C624" s="16" t="s">
        <v>608</v>
      </c>
      <c r="D624" s="16">
        <v>2.1000000000000001E-2</v>
      </c>
    </row>
    <row r="625" spans="1:4" ht="14.1" customHeight="1">
      <c r="A625" s="14">
        <f t="shared" si="10"/>
        <v>621</v>
      </c>
      <c r="B625" s="15" t="s">
        <v>727</v>
      </c>
      <c r="C625" s="16" t="s">
        <v>608</v>
      </c>
      <c r="D625" s="16">
        <v>0.02</v>
      </c>
    </row>
    <row r="626" spans="1:4" ht="14.1" customHeight="1">
      <c r="A626" s="14">
        <f t="shared" si="10"/>
        <v>622</v>
      </c>
      <c r="B626" s="15" t="s">
        <v>728</v>
      </c>
      <c r="C626" s="16" t="s">
        <v>608</v>
      </c>
      <c r="D626" s="16">
        <v>0.05</v>
      </c>
    </row>
    <row r="627" spans="1:4" ht="14.1" customHeight="1">
      <c r="A627" s="14">
        <f t="shared" si="10"/>
        <v>623</v>
      </c>
      <c r="B627" s="15" t="s">
        <v>729</v>
      </c>
      <c r="C627" s="16" t="s">
        <v>608</v>
      </c>
      <c r="D627" s="16">
        <v>4.5999999999999999E-2</v>
      </c>
    </row>
    <row r="628" spans="1:4" ht="14.1" customHeight="1">
      <c r="A628" s="14">
        <f t="shared" si="10"/>
        <v>624</v>
      </c>
      <c r="B628" s="15" t="s">
        <v>730</v>
      </c>
      <c r="C628" s="16" t="s">
        <v>608</v>
      </c>
      <c r="D628" s="16">
        <v>5.1999999999999998E-2</v>
      </c>
    </row>
    <row r="629" spans="1:4" ht="14.1" customHeight="1">
      <c r="A629" s="14">
        <f t="shared" si="10"/>
        <v>625</v>
      </c>
      <c r="B629" s="15" t="s">
        <v>731</v>
      </c>
      <c r="C629" s="16" t="s">
        <v>608</v>
      </c>
      <c r="D629" s="16">
        <v>4.8000000000000001E-2</v>
      </c>
    </row>
    <row r="630" spans="1:4" ht="14.1" customHeight="1">
      <c r="A630" s="14">
        <f t="shared" si="10"/>
        <v>626</v>
      </c>
      <c r="B630" s="15" t="s">
        <v>732</v>
      </c>
      <c r="C630" s="16" t="s">
        <v>608</v>
      </c>
      <c r="D630" s="16">
        <v>3.9E-2</v>
      </c>
    </row>
    <row r="631" spans="1:4" ht="14.1" customHeight="1">
      <c r="A631" s="14">
        <f t="shared" si="10"/>
        <v>627</v>
      </c>
      <c r="B631" s="15" t="s">
        <v>733</v>
      </c>
      <c r="C631" s="16" t="s">
        <v>608</v>
      </c>
      <c r="D631" s="16">
        <v>3.6999999999999998E-2</v>
      </c>
    </row>
    <row r="632" spans="1:4" ht="14.1" customHeight="1">
      <c r="A632" s="14">
        <f t="shared" si="10"/>
        <v>628</v>
      </c>
      <c r="B632" s="15" t="s">
        <v>734</v>
      </c>
      <c r="C632" s="16" t="s">
        <v>608</v>
      </c>
      <c r="D632" s="16">
        <v>4.2999999999999997E-2</v>
      </c>
    </row>
    <row r="633" spans="1:4" ht="14.1" customHeight="1">
      <c r="A633" s="14">
        <f t="shared" si="10"/>
        <v>629</v>
      </c>
      <c r="B633" s="15" t="s">
        <v>735</v>
      </c>
      <c r="C633" s="16" t="s">
        <v>608</v>
      </c>
      <c r="D633" s="16">
        <v>3.9E-2</v>
      </c>
    </row>
    <row r="634" spans="1:4" ht="14.1" customHeight="1">
      <c r="A634" s="14">
        <f t="shared" si="10"/>
        <v>630</v>
      </c>
      <c r="B634" s="15" t="s">
        <v>736</v>
      </c>
      <c r="C634" s="16" t="s">
        <v>608</v>
      </c>
      <c r="D634" s="16">
        <v>3.6999999999999998E-2</v>
      </c>
    </row>
    <row r="635" spans="1:4" ht="14.1" customHeight="1">
      <c r="A635" s="14">
        <f t="shared" si="10"/>
        <v>631</v>
      </c>
      <c r="B635" s="15" t="s">
        <v>737</v>
      </c>
      <c r="C635" s="16" t="s">
        <v>608</v>
      </c>
      <c r="D635" s="16">
        <v>3.5000000000000003E-2</v>
      </c>
    </row>
    <row r="636" spans="1:4" ht="14.1" customHeight="1">
      <c r="A636" s="14">
        <f t="shared" si="10"/>
        <v>632</v>
      </c>
      <c r="B636" s="15" t="s">
        <v>738</v>
      </c>
      <c r="C636" s="16" t="s">
        <v>608</v>
      </c>
      <c r="D636" s="16">
        <v>3.5999999999999997E-2</v>
      </c>
    </row>
    <row r="637" spans="1:4" ht="14.1" customHeight="1">
      <c r="A637" s="14">
        <f t="shared" si="10"/>
        <v>633</v>
      </c>
      <c r="B637" s="15" t="s">
        <v>739</v>
      </c>
      <c r="C637" s="16" t="s">
        <v>608</v>
      </c>
      <c r="D637" s="16">
        <v>3.5999999999999997E-2</v>
      </c>
    </row>
    <row r="638" spans="1:4" ht="14.1" customHeight="1">
      <c r="A638" s="14">
        <f t="shared" si="10"/>
        <v>634</v>
      </c>
      <c r="B638" s="15" t="s">
        <v>740</v>
      </c>
      <c r="C638" s="16" t="s">
        <v>608</v>
      </c>
      <c r="D638" s="16">
        <v>3.2000000000000001E-2</v>
      </c>
    </row>
    <row r="639" spans="1:4" ht="14.1" customHeight="1">
      <c r="A639" s="14">
        <f t="shared" si="10"/>
        <v>635</v>
      </c>
      <c r="B639" s="15" t="s">
        <v>741</v>
      </c>
      <c r="C639" s="16" t="s">
        <v>608</v>
      </c>
      <c r="D639" s="16">
        <v>3.1E-2</v>
      </c>
    </row>
    <row r="640" spans="1:4" ht="14.1" customHeight="1">
      <c r="A640" s="14">
        <f t="shared" si="10"/>
        <v>636</v>
      </c>
      <c r="B640" s="15" t="s">
        <v>742</v>
      </c>
      <c r="C640" s="16" t="s">
        <v>608</v>
      </c>
      <c r="D640" s="16">
        <v>3.3000000000000002E-2</v>
      </c>
    </row>
    <row r="641" spans="1:4" ht="14.1" customHeight="1">
      <c r="A641" s="14">
        <f t="shared" si="10"/>
        <v>637</v>
      </c>
      <c r="B641" s="15" t="s">
        <v>743</v>
      </c>
      <c r="C641" s="16" t="s">
        <v>608</v>
      </c>
      <c r="D641" s="16">
        <v>3.2000000000000001E-2</v>
      </c>
    </row>
    <row r="642" spans="1:4" ht="14.1" customHeight="1">
      <c r="A642" s="14">
        <f t="shared" si="10"/>
        <v>638</v>
      </c>
      <c r="B642" s="15" t="s">
        <v>744</v>
      </c>
      <c r="C642" s="16" t="s">
        <v>608</v>
      </c>
      <c r="D642" s="16">
        <v>2.9000000000000001E-2</v>
      </c>
    </row>
    <row r="643" spans="1:4" ht="14.1" customHeight="1">
      <c r="A643" s="14">
        <f t="shared" si="10"/>
        <v>639</v>
      </c>
      <c r="B643" s="15" t="s">
        <v>745</v>
      </c>
      <c r="C643" s="16" t="s">
        <v>608</v>
      </c>
      <c r="D643" s="16">
        <v>2.8000000000000001E-2</v>
      </c>
    </row>
    <row r="644" spans="1:4" ht="14.1" customHeight="1">
      <c r="A644" s="14">
        <f t="shared" si="10"/>
        <v>640</v>
      </c>
      <c r="B644" s="15" t="s">
        <v>746</v>
      </c>
      <c r="C644" s="16" t="s">
        <v>608</v>
      </c>
      <c r="D644" s="16">
        <v>2.9000000000000001E-2</v>
      </c>
    </row>
    <row r="645" spans="1:4" ht="14.1" customHeight="1">
      <c r="A645" s="14">
        <f t="shared" si="10"/>
        <v>641</v>
      </c>
      <c r="B645" s="15" t="s">
        <v>747</v>
      </c>
      <c r="C645" s="16" t="s">
        <v>608</v>
      </c>
      <c r="D645" s="16">
        <v>2.8000000000000001E-2</v>
      </c>
    </row>
    <row r="646" spans="1:4" ht="14.1" customHeight="1">
      <c r="A646" s="14">
        <f t="shared" si="10"/>
        <v>642</v>
      </c>
      <c r="B646" s="15" t="s">
        <v>748</v>
      </c>
      <c r="C646" s="16" t="s">
        <v>608</v>
      </c>
      <c r="D646" s="16">
        <v>2.5999999999999999E-2</v>
      </c>
    </row>
    <row r="647" spans="1:4" ht="14.1" customHeight="1">
      <c r="A647" s="14">
        <f t="shared" si="10"/>
        <v>643</v>
      </c>
      <c r="B647" s="15" t="s">
        <v>749</v>
      </c>
      <c r="C647" s="16" t="s">
        <v>608</v>
      </c>
      <c r="D647" s="16">
        <v>2.5999999999999999E-2</v>
      </c>
    </row>
    <row r="648" spans="1:4" ht="14.1" customHeight="1">
      <c r="A648" s="14">
        <f t="shared" si="10"/>
        <v>644</v>
      </c>
      <c r="B648" s="15" t="s">
        <v>750</v>
      </c>
      <c r="C648" s="16" t="s">
        <v>608</v>
      </c>
      <c r="D648" s="16">
        <v>2.7E-2</v>
      </c>
    </row>
    <row r="649" spans="1:4" ht="14.1" customHeight="1">
      <c r="A649" s="14">
        <f t="shared" si="10"/>
        <v>645</v>
      </c>
      <c r="B649" s="15" t="s">
        <v>751</v>
      </c>
      <c r="C649" s="16" t="s">
        <v>608</v>
      </c>
      <c r="D649" s="16">
        <v>2.5999999999999999E-2</v>
      </c>
    </row>
    <row r="650" spans="1:4" ht="14.1" customHeight="1">
      <c r="A650" s="14">
        <f t="shared" si="10"/>
        <v>646</v>
      </c>
      <c r="B650" s="15" t="s">
        <v>752</v>
      </c>
      <c r="C650" s="16" t="s">
        <v>608</v>
      </c>
      <c r="D650" s="16">
        <v>0.14799999999999999</v>
      </c>
    </row>
    <row r="651" spans="1:4" ht="14.1" customHeight="1">
      <c r="A651" s="14">
        <f t="shared" si="10"/>
        <v>647</v>
      </c>
      <c r="B651" s="15" t="s">
        <v>753</v>
      </c>
      <c r="C651" s="16" t="s">
        <v>608</v>
      </c>
      <c r="D651" s="16">
        <v>0.111</v>
      </c>
    </row>
    <row r="652" spans="1:4" ht="14.1" customHeight="1">
      <c r="A652" s="14">
        <f t="shared" si="10"/>
        <v>648</v>
      </c>
      <c r="B652" s="15" t="s">
        <v>754</v>
      </c>
      <c r="C652" s="16" t="s">
        <v>608</v>
      </c>
      <c r="D652" s="16">
        <v>8.8999999999999996E-2</v>
      </c>
    </row>
    <row r="653" spans="1:4" ht="14.1" customHeight="1">
      <c r="A653" s="14">
        <f t="shared" si="10"/>
        <v>649</v>
      </c>
      <c r="B653" s="15" t="s">
        <v>755</v>
      </c>
      <c r="C653" s="16" t="s">
        <v>608</v>
      </c>
      <c r="D653" s="16">
        <v>7.3999999999999996E-2</v>
      </c>
    </row>
    <row r="654" spans="1:4" ht="14.1" customHeight="1">
      <c r="A654" s="14">
        <f t="shared" si="10"/>
        <v>650</v>
      </c>
      <c r="B654" s="15" t="s">
        <v>756</v>
      </c>
      <c r="C654" s="16" t="s">
        <v>608</v>
      </c>
      <c r="D654" s="16">
        <v>6.3E-2</v>
      </c>
    </row>
    <row r="655" spans="1:4" ht="14.1" customHeight="1">
      <c r="A655" s="14">
        <f t="shared" si="10"/>
        <v>651</v>
      </c>
      <c r="B655" s="15" t="s">
        <v>757</v>
      </c>
      <c r="C655" s="16" t="s">
        <v>608</v>
      </c>
      <c r="D655" s="16">
        <v>5.6000000000000001E-2</v>
      </c>
    </row>
    <row r="656" spans="1:4" ht="14.1" customHeight="1">
      <c r="A656" s="14">
        <f t="shared" si="10"/>
        <v>652</v>
      </c>
      <c r="B656" s="15" t="s">
        <v>758</v>
      </c>
      <c r="C656" s="16" t="s">
        <v>608</v>
      </c>
      <c r="D656" s="16">
        <v>7.0999999999999994E-2</v>
      </c>
    </row>
    <row r="657" spans="1:5" ht="14.1" customHeight="1">
      <c r="A657" s="14">
        <f t="shared" si="10"/>
        <v>653</v>
      </c>
      <c r="B657" s="15" t="s">
        <v>759</v>
      </c>
      <c r="C657" s="16" t="s">
        <v>608</v>
      </c>
      <c r="D657" s="16">
        <v>4.8000000000000001E-2</v>
      </c>
    </row>
    <row r="658" spans="1:5" ht="14.1" customHeight="1">
      <c r="A658" s="14">
        <f t="shared" si="10"/>
        <v>654</v>
      </c>
      <c r="B658" s="15" t="s">
        <v>760</v>
      </c>
      <c r="C658" s="16" t="s">
        <v>608</v>
      </c>
      <c r="D658" s="16">
        <v>3.6999999999999998E-2</v>
      </c>
    </row>
    <row r="659" spans="1:5" ht="14.1" customHeight="1">
      <c r="A659" s="14">
        <f t="shared" si="10"/>
        <v>655</v>
      </c>
      <c r="B659" s="15" t="s">
        <v>761</v>
      </c>
      <c r="C659" s="16" t="s">
        <v>608</v>
      </c>
      <c r="D659" s="16">
        <v>0.03</v>
      </c>
    </row>
    <row r="660" spans="1:5" ht="14.1" customHeight="1">
      <c r="A660" s="14">
        <f t="shared" si="10"/>
        <v>656</v>
      </c>
      <c r="B660" s="15" t="s">
        <v>762</v>
      </c>
      <c r="C660" s="16" t="s">
        <v>608</v>
      </c>
      <c r="D660" s="16">
        <v>2.5000000000000001E-2</v>
      </c>
    </row>
    <row r="661" spans="1:5" ht="14.1" customHeight="1">
      <c r="A661" s="14">
        <f t="shared" si="10"/>
        <v>657</v>
      </c>
      <c r="B661" s="15" t="s">
        <v>763</v>
      </c>
      <c r="C661" s="16" t="s">
        <v>608</v>
      </c>
      <c r="D661" s="16">
        <v>0.13200000000000001</v>
      </c>
      <c r="E661" s="151" t="s">
        <v>2778</v>
      </c>
    </row>
    <row r="662" spans="1:5" ht="14.1" customHeight="1">
      <c r="A662" s="14">
        <f t="shared" si="10"/>
        <v>658</v>
      </c>
      <c r="B662" s="15" t="s">
        <v>764</v>
      </c>
      <c r="C662" s="16" t="s">
        <v>608</v>
      </c>
      <c r="D662" s="16">
        <v>0.11700000000000001</v>
      </c>
      <c r="E662" s="151" t="s">
        <v>2778</v>
      </c>
    </row>
    <row r="663" spans="1:5" ht="14.1" customHeight="1">
      <c r="A663" s="14">
        <f t="shared" si="10"/>
        <v>659</v>
      </c>
      <c r="B663" s="15" t="s">
        <v>765</v>
      </c>
      <c r="C663" s="16" t="s">
        <v>608</v>
      </c>
      <c r="D663" s="16">
        <v>0.105</v>
      </c>
      <c r="E663" s="151" t="s">
        <v>2778</v>
      </c>
    </row>
    <row r="664" spans="1:5" ht="14.1" customHeight="1">
      <c r="A664" s="14">
        <f t="shared" si="10"/>
        <v>660</v>
      </c>
      <c r="B664" s="15" t="s">
        <v>766</v>
      </c>
      <c r="C664" s="16" t="s">
        <v>608</v>
      </c>
      <c r="D664" s="16">
        <v>9.5000000000000001E-2</v>
      </c>
      <c r="E664" s="151" t="s">
        <v>2778</v>
      </c>
    </row>
    <row r="665" spans="1:5" ht="14.1" customHeight="1">
      <c r="A665" s="14">
        <f t="shared" si="10"/>
        <v>661</v>
      </c>
      <c r="B665" s="15" t="s">
        <v>767</v>
      </c>
      <c r="C665" s="16" t="s">
        <v>608</v>
      </c>
      <c r="D665" s="16">
        <v>8.6999999999999994E-2</v>
      </c>
      <c r="E665" s="151" t="s">
        <v>2778</v>
      </c>
    </row>
    <row r="666" spans="1:5" ht="14.1" customHeight="1">
      <c r="A666" s="14">
        <f t="shared" si="10"/>
        <v>662</v>
      </c>
      <c r="B666" s="15" t="s">
        <v>768</v>
      </c>
      <c r="C666" s="16" t="s">
        <v>608</v>
      </c>
      <c r="D666" s="16">
        <v>0.08</v>
      </c>
      <c r="E666" s="151" t="s">
        <v>2778</v>
      </c>
    </row>
    <row r="667" spans="1:5" ht="14.1" customHeight="1">
      <c r="A667" s="14">
        <f t="shared" si="10"/>
        <v>663</v>
      </c>
      <c r="B667" s="15" t="s">
        <v>769</v>
      </c>
      <c r="C667" s="16" t="s">
        <v>608</v>
      </c>
      <c r="D667" s="16">
        <v>7.3999999999999996E-2</v>
      </c>
      <c r="E667" s="151" t="s">
        <v>2778</v>
      </c>
    </row>
    <row r="668" spans="1:5" ht="14.1" customHeight="1">
      <c r="A668" s="14">
        <f t="shared" si="10"/>
        <v>664</v>
      </c>
      <c r="B668" s="15" t="s">
        <v>770</v>
      </c>
      <c r="C668" s="16" t="s">
        <v>608</v>
      </c>
      <c r="D668" s="16">
        <v>6.9000000000000006E-2</v>
      </c>
      <c r="E668" s="151" t="s">
        <v>2778</v>
      </c>
    </row>
    <row r="669" spans="1:5" ht="14.1" customHeight="1">
      <c r="A669" s="14">
        <f t="shared" si="10"/>
        <v>665</v>
      </c>
      <c r="B669" s="15" t="s">
        <v>771</v>
      </c>
      <c r="C669" s="16" t="s">
        <v>608</v>
      </c>
      <c r="D669" s="16">
        <v>6.4000000000000001E-2</v>
      </c>
      <c r="E669" s="151" t="s">
        <v>2778</v>
      </c>
    </row>
    <row r="670" spans="1:5" ht="14.1" customHeight="1">
      <c r="A670" s="14">
        <f t="shared" si="10"/>
        <v>666</v>
      </c>
      <c r="B670" s="15" t="s">
        <v>772</v>
      </c>
      <c r="C670" s="16" t="s">
        <v>608</v>
      </c>
      <c r="D670" s="16">
        <v>0.06</v>
      </c>
      <c r="E670" s="151" t="s">
        <v>2778</v>
      </c>
    </row>
    <row r="671" spans="1:5" ht="14.1" customHeight="1">
      <c r="A671" s="14">
        <f t="shared" si="10"/>
        <v>667</v>
      </c>
      <c r="B671" s="15" t="s">
        <v>773</v>
      </c>
      <c r="C671" s="16" t="s">
        <v>608</v>
      </c>
      <c r="D671" s="16">
        <v>5.7000000000000002E-2</v>
      </c>
      <c r="E671" s="151" t="s">
        <v>2778</v>
      </c>
    </row>
    <row r="672" spans="1:5" ht="14.1" customHeight="1">
      <c r="A672" s="14">
        <f t="shared" si="10"/>
        <v>668</v>
      </c>
      <c r="B672" s="77" t="s">
        <v>2772</v>
      </c>
      <c r="C672" s="16" t="s">
        <v>608</v>
      </c>
      <c r="D672" s="16">
        <v>5.3999999999999999E-2</v>
      </c>
      <c r="E672" s="151" t="s">
        <v>2778</v>
      </c>
    </row>
    <row r="673" spans="1:5" ht="14.1" customHeight="1">
      <c r="A673" s="14">
        <f t="shared" si="10"/>
        <v>669</v>
      </c>
      <c r="B673" s="77" t="s">
        <v>2773</v>
      </c>
      <c r="C673" s="16" t="s">
        <v>608</v>
      </c>
      <c r="D673" s="16">
        <v>5.0999999999999997E-2</v>
      </c>
      <c r="E673" s="151" t="s">
        <v>2778</v>
      </c>
    </row>
    <row r="674" spans="1:5" ht="14.1" customHeight="1">
      <c r="A674" s="14">
        <f t="shared" si="10"/>
        <v>670</v>
      </c>
      <c r="B674" s="77" t="s">
        <v>2774</v>
      </c>
      <c r="C674" s="16" t="s">
        <v>608</v>
      </c>
      <c r="D674" s="16">
        <v>4.9000000000000002E-2</v>
      </c>
      <c r="E674" s="151" t="s">
        <v>2778</v>
      </c>
    </row>
    <row r="675" spans="1:5" ht="14.1" customHeight="1">
      <c r="A675" s="14">
        <f t="shared" si="10"/>
        <v>671</v>
      </c>
      <c r="B675" s="77" t="s">
        <v>2775</v>
      </c>
      <c r="C675" s="16" t="s">
        <v>608</v>
      </c>
      <c r="D675" s="16">
        <v>4.5999999999999999E-2</v>
      </c>
      <c r="E675" s="151" t="s">
        <v>2778</v>
      </c>
    </row>
    <row r="676" spans="1:5" ht="14.1" customHeight="1">
      <c r="A676" s="14">
        <f t="shared" si="10"/>
        <v>672</v>
      </c>
      <c r="B676" s="77" t="s">
        <v>2776</v>
      </c>
      <c r="C676" s="16" t="s">
        <v>608</v>
      </c>
      <c r="D676" s="16">
        <v>4.3999999999999997E-2</v>
      </c>
      <c r="E676" s="151" t="s">
        <v>2778</v>
      </c>
    </row>
    <row r="677" spans="1:5" ht="14.1" customHeight="1">
      <c r="A677" s="14">
        <f t="shared" si="10"/>
        <v>673</v>
      </c>
      <c r="B677" s="77" t="s">
        <v>2777</v>
      </c>
      <c r="C677" s="16" t="s">
        <v>608</v>
      </c>
      <c r="D677" s="16">
        <v>3.5999999999999997E-2</v>
      </c>
      <c r="E677" s="151" t="s">
        <v>2778</v>
      </c>
    </row>
    <row r="678" spans="1:5" ht="14.1" customHeight="1">
      <c r="A678" s="14">
        <f t="shared" si="10"/>
        <v>674</v>
      </c>
      <c r="B678" s="15" t="s">
        <v>774</v>
      </c>
      <c r="C678" s="16" t="s">
        <v>608</v>
      </c>
      <c r="D678" s="16">
        <v>0.124</v>
      </c>
      <c r="E678" s="151"/>
    </row>
    <row r="679" spans="1:5" ht="14.1" customHeight="1">
      <c r="A679" s="14">
        <f t="shared" si="10"/>
        <v>675</v>
      </c>
      <c r="B679" s="15" t="s">
        <v>775</v>
      </c>
      <c r="C679" s="16" t="s">
        <v>608</v>
      </c>
      <c r="D679" s="16">
        <v>0.111</v>
      </c>
    </row>
    <row r="680" spans="1:5" ht="14.1" customHeight="1">
      <c r="A680" s="14">
        <f t="shared" si="10"/>
        <v>676</v>
      </c>
      <c r="B680" s="15" t="s">
        <v>776</v>
      </c>
      <c r="C680" s="16" t="s">
        <v>608</v>
      </c>
      <c r="D680" s="16">
        <v>0.1</v>
      </c>
    </row>
    <row r="681" spans="1:5" ht="14.1" customHeight="1">
      <c r="A681" s="14">
        <f t="shared" si="10"/>
        <v>677</v>
      </c>
      <c r="B681" s="15" t="s">
        <v>777</v>
      </c>
      <c r="C681" s="16" t="s">
        <v>608</v>
      </c>
      <c r="D681" s="16">
        <v>9.0999999999999998E-2</v>
      </c>
    </row>
    <row r="682" spans="1:5" ht="14.1" customHeight="1">
      <c r="A682" s="14">
        <f t="shared" si="10"/>
        <v>678</v>
      </c>
      <c r="B682" s="15" t="s">
        <v>778</v>
      </c>
      <c r="C682" s="16" t="s">
        <v>608</v>
      </c>
      <c r="D682" s="16">
        <v>8.3000000000000004E-2</v>
      </c>
    </row>
    <row r="683" spans="1:5" ht="14.1" customHeight="1">
      <c r="A683" s="14">
        <f t="shared" ref="A683:A746" si="11">A682+1</f>
        <v>679</v>
      </c>
      <c r="B683" s="15" t="s">
        <v>779</v>
      </c>
      <c r="C683" s="16" t="s">
        <v>608</v>
      </c>
      <c r="D683" s="16">
        <v>7.6999999999999999E-2</v>
      </c>
    </row>
    <row r="684" spans="1:5" ht="14.1" customHeight="1">
      <c r="A684" s="14">
        <f t="shared" si="11"/>
        <v>680</v>
      </c>
      <c r="B684" s="15" t="s">
        <v>780</v>
      </c>
      <c r="C684" s="16" t="s">
        <v>608</v>
      </c>
      <c r="D684" s="16">
        <v>7.0999999999999994E-2</v>
      </c>
    </row>
    <row r="685" spans="1:5" ht="14.1" customHeight="1">
      <c r="A685" s="14">
        <f t="shared" si="11"/>
        <v>681</v>
      </c>
      <c r="B685" s="15" t="s">
        <v>781</v>
      </c>
      <c r="C685" s="16" t="s">
        <v>608</v>
      </c>
      <c r="D685" s="16">
        <v>6.6000000000000003E-2</v>
      </c>
    </row>
    <row r="686" spans="1:5" ht="14.1" customHeight="1">
      <c r="A686" s="14">
        <f t="shared" si="11"/>
        <v>682</v>
      </c>
      <c r="B686" s="15" t="s">
        <v>782</v>
      </c>
      <c r="C686" s="16" t="s">
        <v>608</v>
      </c>
      <c r="D686" s="16">
        <v>6.2E-2</v>
      </c>
    </row>
    <row r="687" spans="1:5" ht="14.1" customHeight="1">
      <c r="A687" s="14">
        <f t="shared" si="11"/>
        <v>683</v>
      </c>
      <c r="B687" s="15" t="s">
        <v>783</v>
      </c>
      <c r="C687" s="16" t="s">
        <v>608</v>
      </c>
      <c r="D687" s="16">
        <v>5.8999999999999997E-2</v>
      </c>
    </row>
    <row r="688" spans="1:5" ht="14.1" customHeight="1">
      <c r="A688" s="14">
        <f t="shared" si="11"/>
        <v>684</v>
      </c>
      <c r="B688" s="15" t="s">
        <v>784</v>
      </c>
      <c r="C688" s="16" t="s">
        <v>608</v>
      </c>
      <c r="D688" s="16">
        <v>5.5E-2</v>
      </c>
    </row>
    <row r="689" spans="1:4" ht="14.1" customHeight="1">
      <c r="A689" s="14">
        <f t="shared" si="11"/>
        <v>685</v>
      </c>
      <c r="B689" s="15" t="s">
        <v>785</v>
      </c>
      <c r="C689" s="16" t="s">
        <v>608</v>
      </c>
      <c r="D689" s="16">
        <v>0.11799999999999999</v>
      </c>
    </row>
    <row r="690" spans="1:4" ht="14.1" customHeight="1">
      <c r="A690" s="14">
        <f t="shared" si="11"/>
        <v>686</v>
      </c>
      <c r="B690" s="15" t="s">
        <v>786</v>
      </c>
      <c r="C690" s="16" t="s">
        <v>608</v>
      </c>
      <c r="D690" s="16">
        <v>0.106</v>
      </c>
    </row>
    <row r="691" spans="1:4" ht="14.1" customHeight="1">
      <c r="A691" s="14">
        <f t="shared" si="11"/>
        <v>687</v>
      </c>
      <c r="B691" s="15" t="s">
        <v>787</v>
      </c>
      <c r="C691" s="16" t="s">
        <v>608</v>
      </c>
      <c r="D691" s="16">
        <v>9.6000000000000002E-2</v>
      </c>
    </row>
    <row r="692" spans="1:4" ht="14.1" customHeight="1">
      <c r="A692" s="14">
        <f t="shared" si="11"/>
        <v>688</v>
      </c>
      <c r="B692" s="15" t="s">
        <v>788</v>
      </c>
      <c r="C692" s="16" t="s">
        <v>608</v>
      </c>
      <c r="D692" s="16">
        <v>8.6999999999999994E-2</v>
      </c>
    </row>
    <row r="693" spans="1:4" ht="14.1" customHeight="1">
      <c r="A693" s="14">
        <f t="shared" si="11"/>
        <v>689</v>
      </c>
      <c r="B693" s="15" t="s">
        <v>789</v>
      </c>
      <c r="C693" s="16" t="s">
        <v>608</v>
      </c>
      <c r="D693" s="16">
        <v>0.08</v>
      </c>
    </row>
    <row r="694" spans="1:4" ht="14.1" customHeight="1">
      <c r="A694" s="14">
        <f t="shared" si="11"/>
        <v>690</v>
      </c>
      <c r="B694" s="15" t="s">
        <v>790</v>
      </c>
      <c r="C694" s="16" t="s">
        <v>608</v>
      </c>
      <c r="D694" s="16">
        <v>7.3999999999999996E-2</v>
      </c>
    </row>
    <row r="695" spans="1:4" ht="14.1" customHeight="1">
      <c r="A695" s="14">
        <f t="shared" si="11"/>
        <v>691</v>
      </c>
      <c r="B695" s="15" t="s">
        <v>791</v>
      </c>
      <c r="C695" s="16" t="s">
        <v>608</v>
      </c>
      <c r="D695" s="16">
        <v>6.9000000000000006E-2</v>
      </c>
    </row>
    <row r="696" spans="1:4" ht="14.1" customHeight="1">
      <c r="A696" s="14">
        <f t="shared" si="11"/>
        <v>692</v>
      </c>
      <c r="B696" s="15" t="s">
        <v>792</v>
      </c>
      <c r="C696" s="16" t="s">
        <v>608</v>
      </c>
      <c r="D696" s="16">
        <v>6.5000000000000002E-2</v>
      </c>
    </row>
    <row r="697" spans="1:4" ht="14.1" customHeight="1">
      <c r="A697" s="14">
        <f t="shared" si="11"/>
        <v>693</v>
      </c>
      <c r="B697" s="15" t="s">
        <v>793</v>
      </c>
      <c r="C697" s="16" t="s">
        <v>608</v>
      </c>
      <c r="D697" s="16">
        <v>6.0999999999999999E-2</v>
      </c>
    </row>
    <row r="698" spans="1:4" ht="14.1" customHeight="1">
      <c r="A698" s="14">
        <f t="shared" si="11"/>
        <v>694</v>
      </c>
      <c r="B698" s="15" t="s">
        <v>794</v>
      </c>
      <c r="C698" s="16" t="s">
        <v>608</v>
      </c>
      <c r="D698" s="16">
        <v>5.7000000000000002E-2</v>
      </c>
    </row>
    <row r="699" spans="1:4" ht="14.1" customHeight="1">
      <c r="A699" s="14">
        <f t="shared" si="11"/>
        <v>695</v>
      </c>
      <c r="B699" s="15" t="s">
        <v>795</v>
      </c>
      <c r="C699" s="16" t="s">
        <v>608</v>
      </c>
      <c r="D699" s="16">
        <v>5.3999999999999999E-2</v>
      </c>
    </row>
    <row r="700" spans="1:4" ht="14.1" customHeight="1">
      <c r="A700" s="14">
        <f t="shared" si="11"/>
        <v>696</v>
      </c>
      <c r="B700" s="15" t="s">
        <v>796</v>
      </c>
      <c r="C700" s="16" t="s">
        <v>608</v>
      </c>
      <c r="D700" s="16">
        <v>0.109</v>
      </c>
    </row>
    <row r="701" spans="1:4" ht="14.1" customHeight="1">
      <c r="A701" s="14">
        <f t="shared" si="11"/>
        <v>697</v>
      </c>
      <c r="B701" s="15" t="s">
        <v>797</v>
      </c>
      <c r="C701" s="16" t="s">
        <v>608</v>
      </c>
      <c r="D701" s="16">
        <v>9.9000000000000005E-2</v>
      </c>
    </row>
    <row r="702" spans="1:4" ht="14.1" customHeight="1">
      <c r="A702" s="14">
        <f t="shared" si="11"/>
        <v>698</v>
      </c>
      <c r="B702" s="15" t="s">
        <v>798</v>
      </c>
      <c r="C702" s="16" t="s">
        <v>608</v>
      </c>
      <c r="D702" s="16">
        <v>0.09</v>
      </c>
    </row>
    <row r="703" spans="1:4" ht="14.1" customHeight="1">
      <c r="A703" s="14">
        <f t="shared" si="11"/>
        <v>699</v>
      </c>
      <c r="B703" s="15" t="s">
        <v>799</v>
      </c>
      <c r="C703" s="16" t="s">
        <v>608</v>
      </c>
      <c r="D703" s="16">
        <v>8.2000000000000003E-2</v>
      </c>
    </row>
    <row r="704" spans="1:4" ht="14.1" customHeight="1">
      <c r="A704" s="14">
        <f t="shared" si="11"/>
        <v>700</v>
      </c>
      <c r="B704" s="15" t="s">
        <v>800</v>
      </c>
      <c r="C704" s="16" t="s">
        <v>608</v>
      </c>
      <c r="D704" s="16">
        <v>7.5999999999999998E-2</v>
      </c>
    </row>
    <row r="705" spans="1:4" ht="14.1" customHeight="1">
      <c r="A705" s="14">
        <f t="shared" si="11"/>
        <v>701</v>
      </c>
      <c r="B705" s="15" t="s">
        <v>801</v>
      </c>
      <c r="C705" s="16" t="s">
        <v>608</v>
      </c>
      <c r="D705" s="16">
        <v>7.0999999999999994E-2</v>
      </c>
    </row>
    <row r="706" spans="1:4" ht="14.1" customHeight="1">
      <c r="A706" s="14">
        <f t="shared" si="11"/>
        <v>702</v>
      </c>
      <c r="B706" s="15" t="s">
        <v>802</v>
      </c>
      <c r="C706" s="16" t="s">
        <v>608</v>
      </c>
      <c r="D706" s="16">
        <v>6.6000000000000003E-2</v>
      </c>
    </row>
    <row r="707" spans="1:4" ht="14.1" customHeight="1">
      <c r="A707" s="14">
        <f t="shared" si="11"/>
        <v>703</v>
      </c>
      <c r="B707" s="15" t="s">
        <v>803</v>
      </c>
      <c r="C707" s="16" t="s">
        <v>608</v>
      </c>
      <c r="D707" s="16">
        <v>6.2E-2</v>
      </c>
    </row>
    <row r="708" spans="1:4" ht="14.1" customHeight="1">
      <c r="A708" s="14">
        <f t="shared" si="11"/>
        <v>704</v>
      </c>
      <c r="B708" s="15" t="s">
        <v>804</v>
      </c>
      <c r="C708" s="16" t="s">
        <v>608</v>
      </c>
      <c r="D708" s="16">
        <v>5.8000000000000003E-2</v>
      </c>
    </row>
    <row r="709" spans="1:4" ht="14.1" customHeight="1">
      <c r="A709" s="14">
        <f t="shared" si="11"/>
        <v>705</v>
      </c>
      <c r="B709" s="15" t="s">
        <v>805</v>
      </c>
      <c r="C709" s="16" t="s">
        <v>608</v>
      </c>
      <c r="D709" s="16">
        <v>5.5E-2</v>
      </c>
    </row>
    <row r="710" spans="1:4" ht="14.1" customHeight="1">
      <c r="A710" s="14">
        <f t="shared" si="11"/>
        <v>706</v>
      </c>
      <c r="B710" s="15" t="s">
        <v>806</v>
      </c>
      <c r="C710" s="16" t="s">
        <v>608</v>
      </c>
      <c r="D710" s="16">
        <v>5.1999999999999998E-2</v>
      </c>
    </row>
    <row r="711" spans="1:4" ht="14.1" customHeight="1">
      <c r="A711" s="14">
        <f t="shared" si="11"/>
        <v>707</v>
      </c>
      <c r="B711" s="15" t="s">
        <v>807</v>
      </c>
      <c r="C711" s="16" t="s">
        <v>608</v>
      </c>
      <c r="D711" s="16">
        <v>0.106</v>
      </c>
    </row>
    <row r="712" spans="1:4" ht="14.1" customHeight="1">
      <c r="A712" s="14">
        <f t="shared" si="11"/>
        <v>708</v>
      </c>
      <c r="B712" s="15" t="s">
        <v>1311</v>
      </c>
      <c r="C712" s="16" t="s">
        <v>608</v>
      </c>
      <c r="D712" s="16">
        <v>9.6000000000000002E-2</v>
      </c>
    </row>
    <row r="713" spans="1:4" ht="14.1" customHeight="1">
      <c r="A713" s="14">
        <f t="shared" si="11"/>
        <v>709</v>
      </c>
      <c r="B713" s="15" t="s">
        <v>1312</v>
      </c>
      <c r="C713" s="16" t="s">
        <v>608</v>
      </c>
      <c r="D713" s="16">
        <v>8.6999999999999994E-2</v>
      </c>
    </row>
    <row r="714" spans="1:4" ht="14.1" customHeight="1">
      <c r="A714" s="14">
        <f t="shared" si="11"/>
        <v>710</v>
      </c>
      <c r="B714" s="15" t="s">
        <v>1313</v>
      </c>
      <c r="C714" s="16" t="s">
        <v>608</v>
      </c>
      <c r="D714" s="16">
        <v>0.08</v>
      </c>
    </row>
    <row r="715" spans="1:4" ht="14.1" customHeight="1">
      <c r="A715" s="14">
        <f t="shared" si="11"/>
        <v>711</v>
      </c>
      <c r="B715" s="15" t="s">
        <v>1314</v>
      </c>
      <c r="C715" s="16" t="s">
        <v>608</v>
      </c>
      <c r="D715" s="16">
        <v>7.3999999999999996E-2</v>
      </c>
    </row>
    <row r="716" spans="1:4" ht="14.1" customHeight="1">
      <c r="A716" s="14">
        <f t="shared" si="11"/>
        <v>712</v>
      </c>
      <c r="B716" s="15" t="s">
        <v>1315</v>
      </c>
      <c r="C716" s="16" t="s">
        <v>608</v>
      </c>
      <c r="D716" s="16">
        <v>6.9000000000000006E-2</v>
      </c>
    </row>
    <row r="717" spans="1:4" ht="14.1" customHeight="1">
      <c r="A717" s="14">
        <f t="shared" si="11"/>
        <v>713</v>
      </c>
      <c r="B717" s="15" t="s">
        <v>1316</v>
      </c>
      <c r="C717" s="16" t="s">
        <v>608</v>
      </c>
      <c r="D717" s="16">
        <v>6.5000000000000002E-2</v>
      </c>
    </row>
    <row r="718" spans="1:4" ht="14.1" customHeight="1">
      <c r="A718" s="14">
        <f t="shared" si="11"/>
        <v>714</v>
      </c>
      <c r="B718" s="15" t="s">
        <v>1317</v>
      </c>
      <c r="C718" s="16" t="s">
        <v>608</v>
      </c>
      <c r="D718" s="16">
        <v>6.0999999999999999E-2</v>
      </c>
    </row>
    <row r="719" spans="1:4" ht="14.1" customHeight="1">
      <c r="A719" s="14">
        <f t="shared" si="11"/>
        <v>715</v>
      </c>
      <c r="B719" s="15" t="s">
        <v>1318</v>
      </c>
      <c r="C719" s="16" t="s">
        <v>608</v>
      </c>
      <c r="D719" s="16">
        <v>5.7000000000000002E-2</v>
      </c>
    </row>
    <row r="720" spans="1:4" ht="14.1" customHeight="1">
      <c r="A720" s="14">
        <f t="shared" si="11"/>
        <v>716</v>
      </c>
      <c r="B720" s="15" t="s">
        <v>1319</v>
      </c>
      <c r="C720" s="16" t="s">
        <v>608</v>
      </c>
      <c r="D720" s="16">
        <v>5.3999999999999999E-2</v>
      </c>
    </row>
    <row r="721" spans="1:4" ht="14.1" customHeight="1">
      <c r="A721" s="14">
        <f t="shared" si="11"/>
        <v>717</v>
      </c>
      <c r="B721" s="15" t="s">
        <v>1320</v>
      </c>
      <c r="C721" s="16" t="s">
        <v>608</v>
      </c>
      <c r="D721" s="16">
        <v>5.0999999999999997E-2</v>
      </c>
    </row>
    <row r="722" spans="1:4" ht="14.1" customHeight="1">
      <c r="A722" s="14">
        <f t="shared" si="11"/>
        <v>718</v>
      </c>
      <c r="B722" s="15" t="s">
        <v>1321</v>
      </c>
      <c r="C722" s="16" t="s">
        <v>608</v>
      </c>
      <c r="D722" s="16">
        <v>9.0999999999999998E-2</v>
      </c>
    </row>
    <row r="723" spans="1:4" ht="14.1" customHeight="1">
      <c r="A723" s="14">
        <f t="shared" si="11"/>
        <v>719</v>
      </c>
      <c r="B723" s="15" t="s">
        <v>1322</v>
      </c>
      <c r="C723" s="16" t="s">
        <v>608</v>
      </c>
      <c r="D723" s="16">
        <v>8.3000000000000004E-2</v>
      </c>
    </row>
    <row r="724" spans="1:4" ht="14.1" customHeight="1">
      <c r="A724" s="14">
        <f t="shared" si="11"/>
        <v>720</v>
      </c>
      <c r="B724" s="15" t="s">
        <v>1323</v>
      </c>
      <c r="C724" s="16" t="s">
        <v>608</v>
      </c>
      <c r="D724" s="16">
        <v>7.6999999999999999E-2</v>
      </c>
    </row>
    <row r="725" spans="1:4" ht="14.1" customHeight="1">
      <c r="A725" s="14">
        <f t="shared" si="11"/>
        <v>721</v>
      </c>
      <c r="B725" s="15" t="s">
        <v>1324</v>
      </c>
      <c r="C725" s="16" t="s">
        <v>608</v>
      </c>
      <c r="D725" s="16">
        <v>7.0999999999999994E-2</v>
      </c>
    </row>
    <row r="726" spans="1:4" ht="14.1" customHeight="1">
      <c r="A726" s="14">
        <f t="shared" si="11"/>
        <v>722</v>
      </c>
      <c r="B726" s="15" t="s">
        <v>1325</v>
      </c>
      <c r="C726" s="16" t="s">
        <v>608</v>
      </c>
      <c r="D726" s="16">
        <v>6.7000000000000004E-2</v>
      </c>
    </row>
    <row r="727" spans="1:4" ht="14.1" customHeight="1">
      <c r="A727" s="14">
        <f t="shared" si="11"/>
        <v>723</v>
      </c>
      <c r="B727" s="15" t="s">
        <v>1326</v>
      </c>
      <c r="C727" s="16" t="s">
        <v>608</v>
      </c>
      <c r="D727" s="16">
        <v>6.2E-2</v>
      </c>
    </row>
    <row r="728" spans="1:4" ht="14.1" customHeight="1">
      <c r="A728" s="14">
        <f t="shared" si="11"/>
        <v>724</v>
      </c>
      <c r="B728" s="15" t="s">
        <v>1327</v>
      </c>
      <c r="C728" s="16" t="s">
        <v>608</v>
      </c>
      <c r="D728" s="16">
        <v>5.8999999999999997E-2</v>
      </c>
    </row>
    <row r="729" spans="1:4" ht="14.1" customHeight="1">
      <c r="A729" s="14">
        <f t="shared" si="11"/>
        <v>725</v>
      </c>
      <c r="B729" s="15" t="s">
        <v>1328</v>
      </c>
      <c r="C729" s="16" t="s">
        <v>608</v>
      </c>
      <c r="D729" s="16">
        <v>5.5E-2</v>
      </c>
    </row>
    <row r="730" spans="1:4" ht="14.1" customHeight="1">
      <c r="A730" s="14">
        <f t="shared" si="11"/>
        <v>726</v>
      </c>
      <c r="B730" s="15" t="s">
        <v>1329</v>
      </c>
      <c r="C730" s="16" t="s">
        <v>608</v>
      </c>
      <c r="D730" s="16">
        <v>5.2999999999999999E-2</v>
      </c>
    </row>
    <row r="731" spans="1:4" ht="14.1" customHeight="1">
      <c r="A731" s="14">
        <f t="shared" si="11"/>
        <v>727</v>
      </c>
      <c r="B731" s="15" t="s">
        <v>1330</v>
      </c>
      <c r="C731" s="16" t="s">
        <v>608</v>
      </c>
      <c r="D731" s="16">
        <v>0.05</v>
      </c>
    </row>
    <row r="732" spans="1:4" ht="14.1" customHeight="1">
      <c r="A732" s="14">
        <f t="shared" si="11"/>
        <v>728</v>
      </c>
      <c r="B732" s="15" t="s">
        <v>1331</v>
      </c>
      <c r="C732" s="16" t="s">
        <v>608</v>
      </c>
      <c r="D732" s="16">
        <v>4.8000000000000001E-2</v>
      </c>
    </row>
    <row r="733" spans="1:4" ht="14.1" customHeight="1">
      <c r="A733" s="14">
        <f t="shared" si="11"/>
        <v>729</v>
      </c>
      <c r="B733" s="15" t="s">
        <v>1332</v>
      </c>
      <c r="C733" s="16" t="s">
        <v>608</v>
      </c>
      <c r="D733" s="16">
        <v>0.11600000000000001</v>
      </c>
    </row>
    <row r="734" spans="1:4" ht="14.1" customHeight="1">
      <c r="A734" s="14">
        <f t="shared" si="11"/>
        <v>730</v>
      </c>
      <c r="B734" s="15" t="s">
        <v>1333</v>
      </c>
      <c r="C734" s="16" t="s">
        <v>608</v>
      </c>
      <c r="D734" s="16">
        <v>0.104</v>
      </c>
    </row>
    <row r="735" spans="1:4" ht="14.1" customHeight="1">
      <c r="A735" s="14">
        <f t="shared" si="11"/>
        <v>731</v>
      </c>
      <c r="B735" s="15" t="s">
        <v>1334</v>
      </c>
      <c r="C735" s="16" t="s">
        <v>608</v>
      </c>
      <c r="D735" s="16">
        <v>9.4E-2</v>
      </c>
    </row>
    <row r="736" spans="1:4" ht="14.1" customHeight="1">
      <c r="A736" s="14">
        <f t="shared" si="11"/>
        <v>732</v>
      </c>
      <c r="B736" s="15" t="s">
        <v>1480</v>
      </c>
      <c r="C736" s="16" t="s">
        <v>608</v>
      </c>
      <c r="D736" s="16">
        <v>8.5999999999999993E-2</v>
      </c>
    </row>
    <row r="737" spans="1:4" ht="14.1" customHeight="1">
      <c r="A737" s="14">
        <f t="shared" si="11"/>
        <v>733</v>
      </c>
      <c r="B737" s="15" t="s">
        <v>1481</v>
      </c>
      <c r="C737" s="16" t="s">
        <v>608</v>
      </c>
      <c r="D737" s="16">
        <v>7.9000000000000001E-2</v>
      </c>
    </row>
    <row r="738" spans="1:4" ht="14.1" customHeight="1">
      <c r="A738" s="14">
        <f t="shared" si="11"/>
        <v>734</v>
      </c>
      <c r="B738" s="15" t="s">
        <v>1482</v>
      </c>
      <c r="C738" s="16" t="s">
        <v>608</v>
      </c>
      <c r="D738" s="16">
        <v>7.2999999999999995E-2</v>
      </c>
    </row>
    <row r="739" spans="1:4" ht="14.1" customHeight="1">
      <c r="A739" s="14">
        <f t="shared" si="11"/>
        <v>735</v>
      </c>
      <c r="B739" s="15" t="s">
        <v>1483</v>
      </c>
      <c r="C739" s="16" t="s">
        <v>608</v>
      </c>
      <c r="D739" s="16">
        <v>6.8000000000000005E-2</v>
      </c>
    </row>
    <row r="740" spans="1:4" ht="14.1" customHeight="1">
      <c r="A740" s="14">
        <f t="shared" si="11"/>
        <v>736</v>
      </c>
      <c r="B740" s="15" t="s">
        <v>1484</v>
      </c>
      <c r="C740" s="16" t="s">
        <v>608</v>
      </c>
      <c r="D740" s="16">
        <v>6.4000000000000001E-2</v>
      </c>
    </row>
    <row r="741" spans="1:4" ht="14.1" customHeight="1">
      <c r="A741" s="14">
        <f t="shared" si="11"/>
        <v>737</v>
      </c>
      <c r="B741" s="15" t="s">
        <v>1485</v>
      </c>
      <c r="C741" s="16" t="s">
        <v>608</v>
      </c>
      <c r="D741" s="16">
        <v>0.06</v>
      </c>
    </row>
    <row r="742" spans="1:4" ht="14.1" customHeight="1">
      <c r="A742" s="14">
        <f t="shared" si="11"/>
        <v>738</v>
      </c>
      <c r="B742" s="15" t="s">
        <v>1486</v>
      </c>
      <c r="C742" s="16" t="s">
        <v>608</v>
      </c>
      <c r="D742" s="16">
        <v>5.7000000000000002E-2</v>
      </c>
    </row>
    <row r="743" spans="1:4" ht="14.1" customHeight="1">
      <c r="A743" s="14">
        <f t="shared" si="11"/>
        <v>739</v>
      </c>
      <c r="B743" s="15" t="s">
        <v>1487</v>
      </c>
      <c r="C743" s="16" t="s">
        <v>608</v>
      </c>
      <c r="D743" s="16">
        <v>5.3999999999999999E-2</v>
      </c>
    </row>
    <row r="744" spans="1:4" ht="14.1" customHeight="1">
      <c r="A744" s="14">
        <f t="shared" si="11"/>
        <v>740</v>
      </c>
      <c r="B744" s="15" t="s">
        <v>1488</v>
      </c>
      <c r="C744" s="16" t="s">
        <v>608</v>
      </c>
      <c r="D744" s="16">
        <v>0.108</v>
      </c>
    </row>
    <row r="745" spans="1:4" ht="14.1" customHeight="1">
      <c r="A745" s="14">
        <f t="shared" si="11"/>
        <v>741</v>
      </c>
      <c r="B745" s="15" t="s">
        <v>1489</v>
      </c>
      <c r="C745" s="16" t="s">
        <v>608</v>
      </c>
      <c r="D745" s="16">
        <v>9.8000000000000004E-2</v>
      </c>
    </row>
    <row r="746" spans="1:4" ht="14.1" customHeight="1">
      <c r="A746" s="14">
        <f t="shared" si="11"/>
        <v>742</v>
      </c>
      <c r="B746" s="15" t="s">
        <v>1490</v>
      </c>
      <c r="C746" s="16" t="s">
        <v>608</v>
      </c>
      <c r="D746" s="16">
        <v>8.8999999999999996E-2</v>
      </c>
    </row>
    <row r="747" spans="1:4" ht="14.1" customHeight="1">
      <c r="A747" s="14">
        <f t="shared" ref="A747:A810" si="12">A746+1</f>
        <v>743</v>
      </c>
      <c r="B747" s="15" t="s">
        <v>1491</v>
      </c>
      <c r="C747" s="16" t="s">
        <v>608</v>
      </c>
      <c r="D747" s="16">
        <v>8.2000000000000003E-2</v>
      </c>
    </row>
    <row r="748" spans="1:4" ht="14.1" customHeight="1">
      <c r="A748" s="14">
        <f t="shared" si="12"/>
        <v>744</v>
      </c>
      <c r="B748" s="15" t="s">
        <v>1492</v>
      </c>
      <c r="C748" s="16" t="s">
        <v>608</v>
      </c>
      <c r="D748" s="16">
        <v>7.4999999999999997E-2</v>
      </c>
    </row>
    <row r="749" spans="1:4" ht="14.1" customHeight="1">
      <c r="A749" s="14">
        <f t="shared" si="12"/>
        <v>745</v>
      </c>
      <c r="B749" s="15" t="s">
        <v>1493</v>
      </c>
      <c r="C749" s="16" t="s">
        <v>608</v>
      </c>
      <c r="D749" s="16">
        <v>7.0000000000000007E-2</v>
      </c>
    </row>
    <row r="750" spans="1:4" ht="14.1" customHeight="1">
      <c r="A750" s="14">
        <f t="shared" si="12"/>
        <v>746</v>
      </c>
      <c r="B750" s="15" t="s">
        <v>1494</v>
      </c>
      <c r="C750" s="16" t="s">
        <v>608</v>
      </c>
      <c r="D750" s="16">
        <v>6.6000000000000003E-2</v>
      </c>
    </row>
    <row r="751" spans="1:4" ht="14.1" customHeight="1">
      <c r="A751" s="14">
        <f t="shared" si="12"/>
        <v>747</v>
      </c>
      <c r="B751" s="15" t="s">
        <v>1495</v>
      </c>
      <c r="C751" s="16" t="s">
        <v>608</v>
      </c>
      <c r="D751" s="16">
        <v>6.2E-2</v>
      </c>
    </row>
    <row r="752" spans="1:4" ht="14.1" customHeight="1">
      <c r="A752" s="14">
        <f t="shared" si="12"/>
        <v>748</v>
      </c>
      <c r="B752" s="15" t="s">
        <v>1496</v>
      </c>
      <c r="C752" s="16" t="s">
        <v>608</v>
      </c>
      <c r="D752" s="16">
        <v>5.8000000000000003E-2</v>
      </c>
    </row>
    <row r="753" spans="1:4" ht="14.1" customHeight="1">
      <c r="A753" s="14">
        <f t="shared" si="12"/>
        <v>749</v>
      </c>
      <c r="B753" s="15" t="s">
        <v>1497</v>
      </c>
      <c r="C753" s="16" t="s">
        <v>608</v>
      </c>
      <c r="D753" s="16">
        <v>5.5E-2</v>
      </c>
    </row>
    <row r="754" spans="1:4" ht="14.1" customHeight="1">
      <c r="A754" s="14">
        <f t="shared" si="12"/>
        <v>750</v>
      </c>
      <c r="B754" s="15" t="s">
        <v>1498</v>
      </c>
      <c r="C754" s="16" t="s">
        <v>608</v>
      </c>
      <c r="D754" s="16">
        <v>5.1999999999999998E-2</v>
      </c>
    </row>
    <row r="755" spans="1:4" ht="14.1" customHeight="1">
      <c r="A755" s="14">
        <f t="shared" si="12"/>
        <v>751</v>
      </c>
      <c r="B755" s="15" t="s">
        <v>1499</v>
      </c>
      <c r="C755" s="16" t="s">
        <v>608</v>
      </c>
      <c r="D755" s="16">
        <v>0.10199999999999999</v>
      </c>
    </row>
    <row r="756" spans="1:4" ht="14.1" customHeight="1">
      <c r="A756" s="14">
        <f t="shared" si="12"/>
        <v>752</v>
      </c>
      <c r="B756" s="15" t="s">
        <v>1500</v>
      </c>
      <c r="C756" s="16" t="s">
        <v>608</v>
      </c>
      <c r="D756" s="16">
        <v>9.1999999999999998E-2</v>
      </c>
    </row>
    <row r="757" spans="1:4" ht="14.1" customHeight="1">
      <c r="A757" s="14">
        <f t="shared" si="12"/>
        <v>753</v>
      </c>
      <c r="B757" s="15" t="s">
        <v>1501</v>
      </c>
      <c r="C757" s="16" t="s">
        <v>608</v>
      </c>
      <c r="D757" s="16">
        <v>8.4000000000000005E-2</v>
      </c>
    </row>
    <row r="758" spans="1:4" ht="14.1" customHeight="1">
      <c r="A758" s="14">
        <f t="shared" si="12"/>
        <v>754</v>
      </c>
      <c r="B758" s="15" t="s">
        <v>1502</v>
      </c>
      <c r="C758" s="16" t="s">
        <v>608</v>
      </c>
      <c r="D758" s="16">
        <v>7.8E-2</v>
      </c>
    </row>
    <row r="759" spans="1:4" ht="14.1" customHeight="1">
      <c r="A759" s="14">
        <f t="shared" si="12"/>
        <v>755</v>
      </c>
      <c r="B759" s="15" t="s">
        <v>1503</v>
      </c>
      <c r="C759" s="16" t="s">
        <v>608</v>
      </c>
      <c r="D759" s="16">
        <v>7.1999999999999995E-2</v>
      </c>
    </row>
    <row r="760" spans="1:4" ht="14.1" customHeight="1">
      <c r="A760" s="14">
        <f t="shared" si="12"/>
        <v>756</v>
      </c>
      <c r="B760" s="15" t="s">
        <v>1504</v>
      </c>
      <c r="C760" s="16" t="s">
        <v>608</v>
      </c>
      <c r="D760" s="16">
        <v>6.7000000000000004E-2</v>
      </c>
    </row>
    <row r="761" spans="1:4" ht="14.1" customHeight="1">
      <c r="A761" s="14">
        <f t="shared" si="12"/>
        <v>757</v>
      </c>
      <c r="B761" s="15" t="s">
        <v>1505</v>
      </c>
      <c r="C761" s="16" t="s">
        <v>608</v>
      </c>
      <c r="D761" s="16">
        <v>6.3E-2</v>
      </c>
    </row>
    <row r="762" spans="1:4" ht="14.1" customHeight="1">
      <c r="A762" s="14">
        <f t="shared" si="12"/>
        <v>758</v>
      </c>
      <c r="B762" s="15" t="s">
        <v>1506</v>
      </c>
      <c r="C762" s="16" t="s">
        <v>608</v>
      </c>
      <c r="D762" s="16">
        <v>5.8999999999999997E-2</v>
      </c>
    </row>
    <row r="763" spans="1:4" ht="14.1" customHeight="1">
      <c r="A763" s="14">
        <f t="shared" si="12"/>
        <v>759</v>
      </c>
      <c r="B763" s="15" t="s">
        <v>1507</v>
      </c>
      <c r="C763" s="16" t="s">
        <v>608</v>
      </c>
      <c r="D763" s="16">
        <v>5.6000000000000001E-2</v>
      </c>
    </row>
    <row r="764" spans="1:4" ht="14.1" customHeight="1">
      <c r="A764" s="14">
        <f t="shared" si="12"/>
        <v>760</v>
      </c>
      <c r="B764" s="15" t="s">
        <v>1508</v>
      </c>
      <c r="C764" s="16" t="s">
        <v>608</v>
      </c>
      <c r="D764" s="16">
        <v>5.2999999999999999E-2</v>
      </c>
    </row>
    <row r="765" spans="1:4" ht="14.1" customHeight="1">
      <c r="A765" s="14">
        <f t="shared" si="12"/>
        <v>761</v>
      </c>
      <c r="B765" s="15" t="s">
        <v>1509</v>
      </c>
      <c r="C765" s="16" t="s">
        <v>608</v>
      </c>
      <c r="D765" s="16">
        <v>0.05</v>
      </c>
    </row>
    <row r="766" spans="1:4" ht="14.1" customHeight="1">
      <c r="A766" s="14">
        <f t="shared" si="12"/>
        <v>762</v>
      </c>
      <c r="B766" s="15" t="s">
        <v>1510</v>
      </c>
      <c r="C766" s="16" t="s">
        <v>608</v>
      </c>
      <c r="D766" s="16">
        <v>9.4E-2</v>
      </c>
    </row>
    <row r="767" spans="1:4" ht="14.1" customHeight="1">
      <c r="A767" s="14">
        <f t="shared" si="12"/>
        <v>763</v>
      </c>
      <c r="B767" s="15" t="s">
        <v>1511</v>
      </c>
      <c r="C767" s="16" t="s">
        <v>608</v>
      </c>
      <c r="D767" s="16">
        <v>8.5999999999999993E-2</v>
      </c>
    </row>
    <row r="768" spans="1:4" ht="14.1" customHeight="1">
      <c r="A768" s="14">
        <f t="shared" si="12"/>
        <v>764</v>
      </c>
      <c r="B768" s="15" t="s">
        <v>1512</v>
      </c>
      <c r="C768" s="16" t="s">
        <v>608</v>
      </c>
      <c r="D768" s="16">
        <v>7.9000000000000001E-2</v>
      </c>
    </row>
    <row r="769" spans="1:4" ht="14.1" customHeight="1">
      <c r="A769" s="14">
        <f t="shared" si="12"/>
        <v>765</v>
      </c>
      <c r="B769" s="15" t="s">
        <v>1513</v>
      </c>
      <c r="C769" s="16" t="s">
        <v>608</v>
      </c>
      <c r="D769" s="16">
        <v>7.2999999999999995E-2</v>
      </c>
    </row>
    <row r="770" spans="1:4" ht="14.1" customHeight="1">
      <c r="A770" s="14">
        <f t="shared" si="12"/>
        <v>766</v>
      </c>
      <c r="B770" s="15" t="s">
        <v>1514</v>
      </c>
      <c r="C770" s="16" t="s">
        <v>608</v>
      </c>
      <c r="D770" s="16">
        <v>6.8000000000000005E-2</v>
      </c>
    </row>
    <row r="771" spans="1:4" ht="14.1" customHeight="1">
      <c r="A771" s="14">
        <f t="shared" si="12"/>
        <v>767</v>
      </c>
      <c r="B771" s="15" t="s">
        <v>1515</v>
      </c>
      <c r="C771" s="16" t="s">
        <v>608</v>
      </c>
      <c r="D771" s="16">
        <v>6.4000000000000001E-2</v>
      </c>
    </row>
    <row r="772" spans="1:4" ht="14.1" customHeight="1">
      <c r="A772" s="14">
        <f t="shared" si="12"/>
        <v>768</v>
      </c>
      <c r="B772" s="15" t="s">
        <v>1516</v>
      </c>
      <c r="C772" s="16" t="s">
        <v>608</v>
      </c>
      <c r="D772" s="16">
        <v>0.06</v>
      </c>
    </row>
    <row r="773" spans="1:4" ht="14.1" customHeight="1">
      <c r="A773" s="14">
        <f t="shared" si="12"/>
        <v>769</v>
      </c>
      <c r="B773" s="15" t="s">
        <v>1517</v>
      </c>
      <c r="C773" s="16" t="s">
        <v>608</v>
      </c>
      <c r="D773" s="16">
        <v>5.7000000000000002E-2</v>
      </c>
    </row>
    <row r="774" spans="1:4" ht="14.1" customHeight="1">
      <c r="A774" s="14">
        <f t="shared" si="12"/>
        <v>770</v>
      </c>
      <c r="B774" s="15" t="s">
        <v>1518</v>
      </c>
      <c r="C774" s="16" t="s">
        <v>608</v>
      </c>
      <c r="D774" s="16">
        <v>5.3999999999999999E-2</v>
      </c>
    </row>
    <row r="775" spans="1:4" ht="14.1" customHeight="1">
      <c r="A775" s="14">
        <f t="shared" si="12"/>
        <v>771</v>
      </c>
      <c r="B775" s="15" t="s">
        <v>1519</v>
      </c>
      <c r="C775" s="16" t="s">
        <v>608</v>
      </c>
      <c r="D775" s="16">
        <v>5.0999999999999997E-2</v>
      </c>
    </row>
    <row r="776" spans="1:4" ht="14.1" customHeight="1">
      <c r="A776" s="14">
        <f t="shared" si="12"/>
        <v>772</v>
      </c>
      <c r="B776" s="15" t="s">
        <v>1520</v>
      </c>
      <c r="C776" s="16" t="s">
        <v>608</v>
      </c>
      <c r="D776" s="16">
        <v>4.8000000000000001E-2</v>
      </c>
    </row>
    <row r="777" spans="1:4" ht="14.1" customHeight="1">
      <c r="A777" s="14">
        <f t="shared" si="12"/>
        <v>773</v>
      </c>
      <c r="B777" s="15" t="s">
        <v>1521</v>
      </c>
      <c r="C777" s="16" t="s">
        <v>608</v>
      </c>
      <c r="D777" s="16">
        <v>0.09</v>
      </c>
    </row>
    <row r="778" spans="1:4" ht="14.1" customHeight="1">
      <c r="A778" s="14">
        <f t="shared" si="12"/>
        <v>774</v>
      </c>
      <c r="B778" s="15" t="s">
        <v>1522</v>
      </c>
      <c r="C778" s="16" t="s">
        <v>608</v>
      </c>
      <c r="D778" s="16">
        <v>8.3000000000000004E-2</v>
      </c>
    </row>
    <row r="779" spans="1:4" ht="14.1" customHeight="1">
      <c r="A779" s="14">
        <f t="shared" si="12"/>
        <v>775</v>
      </c>
      <c r="B779" s="15" t="s">
        <v>1523</v>
      </c>
      <c r="C779" s="16" t="s">
        <v>608</v>
      </c>
      <c r="D779" s="16">
        <v>7.6999999999999999E-2</v>
      </c>
    </row>
    <row r="780" spans="1:4" ht="14.1" customHeight="1">
      <c r="A780" s="14">
        <f t="shared" si="12"/>
        <v>776</v>
      </c>
      <c r="B780" s="15" t="s">
        <v>1524</v>
      </c>
      <c r="C780" s="16" t="s">
        <v>608</v>
      </c>
      <c r="D780" s="16">
        <v>7.0999999999999994E-2</v>
      </c>
    </row>
    <row r="781" spans="1:4" ht="14.1" customHeight="1">
      <c r="A781" s="14">
        <f t="shared" si="12"/>
        <v>777</v>
      </c>
      <c r="B781" s="15" t="s">
        <v>1525</v>
      </c>
      <c r="C781" s="16" t="s">
        <v>608</v>
      </c>
      <c r="D781" s="16">
        <v>6.6000000000000003E-2</v>
      </c>
    </row>
    <row r="782" spans="1:4" ht="14.1" customHeight="1">
      <c r="A782" s="14">
        <f t="shared" si="12"/>
        <v>778</v>
      </c>
      <c r="B782" s="15" t="s">
        <v>1526</v>
      </c>
      <c r="C782" s="16" t="s">
        <v>608</v>
      </c>
      <c r="D782" s="16">
        <v>6.2E-2</v>
      </c>
    </row>
    <row r="783" spans="1:4" ht="14.1" customHeight="1">
      <c r="A783" s="14">
        <f t="shared" si="12"/>
        <v>779</v>
      </c>
      <c r="B783" s="15" t="s">
        <v>1527</v>
      </c>
      <c r="C783" s="16" t="s">
        <v>608</v>
      </c>
      <c r="D783" s="16">
        <v>5.8999999999999997E-2</v>
      </c>
    </row>
    <row r="784" spans="1:4" ht="14.1" customHeight="1">
      <c r="A784" s="14">
        <f t="shared" si="12"/>
        <v>780</v>
      </c>
      <c r="B784" s="15" t="s">
        <v>1528</v>
      </c>
      <c r="C784" s="16" t="s">
        <v>608</v>
      </c>
      <c r="D784" s="16">
        <v>5.5E-2</v>
      </c>
    </row>
    <row r="785" spans="1:4" ht="14.1" customHeight="1">
      <c r="A785" s="14">
        <f t="shared" si="12"/>
        <v>781</v>
      </c>
      <c r="B785" s="15" t="s">
        <v>1529</v>
      </c>
      <c r="C785" s="16" t="s">
        <v>608</v>
      </c>
      <c r="D785" s="16">
        <v>5.1999999999999998E-2</v>
      </c>
    </row>
    <row r="786" spans="1:4" ht="14.1" customHeight="1">
      <c r="A786" s="14">
        <f t="shared" si="12"/>
        <v>782</v>
      </c>
      <c r="B786" s="15" t="s">
        <v>1530</v>
      </c>
      <c r="C786" s="16" t="s">
        <v>608</v>
      </c>
      <c r="D786" s="16">
        <v>0.05</v>
      </c>
    </row>
    <row r="787" spans="1:4" ht="14.1" customHeight="1">
      <c r="A787" s="14">
        <f t="shared" si="12"/>
        <v>783</v>
      </c>
      <c r="B787" s="15" t="s">
        <v>1531</v>
      </c>
      <c r="C787" s="16" t="s">
        <v>608</v>
      </c>
      <c r="D787" s="16">
        <v>4.8000000000000001E-2</v>
      </c>
    </row>
    <row r="788" spans="1:4" ht="14.1" customHeight="1">
      <c r="A788" s="14">
        <f t="shared" si="12"/>
        <v>784</v>
      </c>
      <c r="B788" s="15" t="s">
        <v>1532</v>
      </c>
      <c r="C788" s="16" t="s">
        <v>608</v>
      </c>
      <c r="D788" s="16">
        <v>7.9000000000000001E-2</v>
      </c>
    </row>
    <row r="789" spans="1:4" ht="14.1" customHeight="1">
      <c r="A789" s="14">
        <f t="shared" si="12"/>
        <v>785</v>
      </c>
      <c r="B789" s="15" t="s">
        <v>1533</v>
      </c>
      <c r="C789" s="16" t="s">
        <v>608</v>
      </c>
      <c r="D789" s="16">
        <v>7.2999999999999995E-2</v>
      </c>
    </row>
    <row r="790" spans="1:4" ht="14.1" customHeight="1">
      <c r="A790" s="14">
        <f t="shared" si="12"/>
        <v>786</v>
      </c>
      <c r="B790" s="15" t="s">
        <v>1201</v>
      </c>
      <c r="C790" s="16" t="s">
        <v>608</v>
      </c>
      <c r="D790" s="16">
        <v>6.8000000000000005E-2</v>
      </c>
    </row>
    <row r="791" spans="1:4" ht="14.1" customHeight="1">
      <c r="A791" s="14">
        <f t="shared" si="12"/>
        <v>787</v>
      </c>
      <c r="B791" s="15" t="s">
        <v>1202</v>
      </c>
      <c r="C791" s="16" t="s">
        <v>608</v>
      </c>
      <c r="D791" s="16">
        <v>6.4000000000000001E-2</v>
      </c>
    </row>
    <row r="792" spans="1:4" ht="14.1" customHeight="1">
      <c r="A792" s="14">
        <f t="shared" si="12"/>
        <v>788</v>
      </c>
      <c r="B792" s="15" t="s">
        <v>1203</v>
      </c>
      <c r="C792" s="16" t="s">
        <v>608</v>
      </c>
      <c r="D792" s="16">
        <v>0.06</v>
      </c>
    </row>
    <row r="793" spans="1:4" ht="14.1" customHeight="1">
      <c r="A793" s="14">
        <f t="shared" si="12"/>
        <v>789</v>
      </c>
      <c r="B793" s="15" t="s">
        <v>1204</v>
      </c>
      <c r="C793" s="16" t="s">
        <v>608</v>
      </c>
      <c r="D793" s="16">
        <v>5.7000000000000002E-2</v>
      </c>
    </row>
    <row r="794" spans="1:4" ht="14.1" customHeight="1">
      <c r="A794" s="14">
        <f t="shared" si="12"/>
        <v>790</v>
      </c>
      <c r="B794" s="15" t="s">
        <v>1205</v>
      </c>
      <c r="C794" s="16" t="s">
        <v>608</v>
      </c>
      <c r="D794" s="16">
        <v>5.3999999999999999E-2</v>
      </c>
    </row>
    <row r="795" spans="1:4" ht="14.1" customHeight="1">
      <c r="A795" s="14">
        <f t="shared" si="12"/>
        <v>791</v>
      </c>
      <c r="B795" s="15" t="s">
        <v>1206</v>
      </c>
      <c r="C795" s="16" t="s">
        <v>608</v>
      </c>
      <c r="D795" s="16">
        <v>5.0999999999999997E-2</v>
      </c>
    </row>
    <row r="796" spans="1:4" ht="14.1" customHeight="1">
      <c r="A796" s="14">
        <f t="shared" si="12"/>
        <v>792</v>
      </c>
      <c r="B796" s="15" t="s">
        <v>1207</v>
      </c>
      <c r="C796" s="16" t="s">
        <v>608</v>
      </c>
      <c r="D796" s="16">
        <v>4.8000000000000001E-2</v>
      </c>
    </row>
    <row r="797" spans="1:4" ht="14.1" customHeight="1">
      <c r="A797" s="14">
        <f t="shared" si="12"/>
        <v>793</v>
      </c>
      <c r="B797" s="15" t="s">
        <v>1208</v>
      </c>
      <c r="C797" s="16" t="s">
        <v>608</v>
      </c>
      <c r="D797" s="16">
        <v>4.5999999999999999E-2</v>
      </c>
    </row>
    <row r="798" spans="1:4" ht="14.1" customHeight="1">
      <c r="A798" s="14">
        <f t="shared" si="12"/>
        <v>794</v>
      </c>
      <c r="B798" s="15" t="s">
        <v>1209</v>
      </c>
      <c r="C798" s="16" t="s">
        <v>608</v>
      </c>
      <c r="D798" s="16">
        <v>4.3999999999999997E-2</v>
      </c>
    </row>
    <row r="799" spans="1:4" ht="14.1" customHeight="1">
      <c r="A799" s="14">
        <f t="shared" si="12"/>
        <v>795</v>
      </c>
      <c r="B799" s="15" t="s">
        <v>1210</v>
      </c>
      <c r="C799" s="16" t="s">
        <v>608</v>
      </c>
      <c r="D799" s="16">
        <v>0.4</v>
      </c>
    </row>
    <row r="800" spans="1:4" ht="14.1" customHeight="1">
      <c r="A800" s="14">
        <f t="shared" si="12"/>
        <v>796</v>
      </c>
      <c r="B800" s="15" t="s">
        <v>1211</v>
      </c>
      <c r="C800" s="16" t="s">
        <v>608</v>
      </c>
      <c r="D800" s="16">
        <v>0.23</v>
      </c>
    </row>
    <row r="801" spans="1:4" ht="14.1" customHeight="1">
      <c r="A801" s="14">
        <f t="shared" si="12"/>
        <v>797</v>
      </c>
      <c r="B801" s="15" t="s">
        <v>1212</v>
      </c>
      <c r="C801" s="16" t="s">
        <v>608</v>
      </c>
      <c r="D801" s="16">
        <v>0.24</v>
      </c>
    </row>
    <row r="802" spans="1:4" ht="14.1" customHeight="1">
      <c r="A802" s="14">
        <f t="shared" si="12"/>
        <v>798</v>
      </c>
      <c r="B802" s="15" t="s">
        <v>1213</v>
      </c>
      <c r="C802" s="16" t="s">
        <v>608</v>
      </c>
      <c r="D802" s="16">
        <v>0.43</v>
      </c>
    </row>
    <row r="803" spans="1:4" ht="14.1" customHeight="1">
      <c r="A803" s="14">
        <f t="shared" si="12"/>
        <v>799</v>
      </c>
      <c r="B803" s="15" t="s">
        <v>1214</v>
      </c>
      <c r="C803" s="16" t="s">
        <v>608</v>
      </c>
      <c r="D803" s="16">
        <v>0.14000000000000001</v>
      </c>
    </row>
    <row r="804" spans="1:4" ht="14.1" customHeight="1">
      <c r="A804" s="14">
        <f t="shared" si="12"/>
        <v>800</v>
      </c>
      <c r="B804" s="15" t="s">
        <v>1215</v>
      </c>
      <c r="C804" s="16" t="s">
        <v>608</v>
      </c>
      <c r="D804" s="16">
        <v>0.11</v>
      </c>
    </row>
    <row r="805" spans="1:4" ht="14.1" customHeight="1">
      <c r="A805" s="14">
        <f t="shared" si="12"/>
        <v>801</v>
      </c>
      <c r="B805" s="15" t="s">
        <v>1216</v>
      </c>
      <c r="C805" s="16" t="s">
        <v>608</v>
      </c>
      <c r="D805" s="16">
        <v>0.12</v>
      </c>
    </row>
    <row r="806" spans="1:4" ht="14.1" customHeight="1">
      <c r="A806" s="14">
        <f t="shared" si="12"/>
        <v>802</v>
      </c>
      <c r="B806" s="15" t="s">
        <v>1217</v>
      </c>
      <c r="C806" s="16" t="s">
        <v>608</v>
      </c>
      <c r="D806" s="16">
        <v>0.15</v>
      </c>
    </row>
    <row r="807" spans="1:4" ht="14.1" customHeight="1">
      <c r="A807" s="14">
        <f t="shared" si="12"/>
        <v>803</v>
      </c>
      <c r="B807" s="15" t="s">
        <v>1218</v>
      </c>
      <c r="C807" s="16" t="s">
        <v>608</v>
      </c>
      <c r="D807" s="16">
        <v>0.14000000000000001</v>
      </c>
    </row>
    <row r="808" spans="1:4" ht="14.1" customHeight="1">
      <c r="A808" s="14">
        <f t="shared" si="12"/>
        <v>804</v>
      </c>
      <c r="B808" s="15" t="s">
        <v>1219</v>
      </c>
      <c r="C808" s="16" t="s">
        <v>608</v>
      </c>
      <c r="D808" s="16">
        <v>0.11</v>
      </c>
    </row>
    <row r="809" spans="1:4" ht="14.1" customHeight="1">
      <c r="A809" s="14">
        <f t="shared" si="12"/>
        <v>805</v>
      </c>
      <c r="B809" s="15" t="s">
        <v>1220</v>
      </c>
      <c r="C809" s="16" t="s">
        <v>608</v>
      </c>
      <c r="D809" s="16">
        <v>0.11</v>
      </c>
    </row>
    <row r="810" spans="1:4" ht="14.1" customHeight="1">
      <c r="A810" s="14">
        <f t="shared" si="12"/>
        <v>806</v>
      </c>
      <c r="B810" s="15" t="s">
        <v>1221</v>
      </c>
      <c r="C810" s="16" t="s">
        <v>608</v>
      </c>
      <c r="D810" s="16">
        <v>0.14000000000000001</v>
      </c>
    </row>
    <row r="811" spans="1:4" ht="14.1" customHeight="1">
      <c r="A811" s="14">
        <f t="shared" ref="A811:A874" si="13">A810+1</f>
        <v>807</v>
      </c>
      <c r="B811" s="15" t="s">
        <v>1222</v>
      </c>
      <c r="C811" s="16" t="s">
        <v>608</v>
      </c>
      <c r="D811" s="16">
        <v>0.11</v>
      </c>
    </row>
    <row r="812" spans="1:4" ht="14.1" customHeight="1">
      <c r="A812" s="14">
        <f t="shared" si="13"/>
        <v>808</v>
      </c>
      <c r="B812" s="15" t="s">
        <v>1223</v>
      </c>
      <c r="C812" s="16" t="s">
        <v>608</v>
      </c>
      <c r="D812" s="16">
        <v>0.09</v>
      </c>
    </row>
    <row r="813" spans="1:4" ht="14.1" customHeight="1">
      <c r="A813" s="14">
        <f t="shared" si="13"/>
        <v>809</v>
      </c>
      <c r="B813" s="15" t="s">
        <v>1224</v>
      </c>
      <c r="C813" s="16" t="s">
        <v>608</v>
      </c>
      <c r="D813" s="16">
        <v>0.09</v>
      </c>
    </row>
    <row r="814" spans="1:4" ht="14.1" customHeight="1">
      <c r="A814" s="14">
        <f t="shared" si="13"/>
        <v>810</v>
      </c>
      <c r="B814" s="15" t="s">
        <v>1225</v>
      </c>
      <c r="C814" s="16" t="s">
        <v>608</v>
      </c>
      <c r="D814" s="16">
        <v>0.11</v>
      </c>
    </row>
    <row r="815" spans="1:4" ht="14.1" customHeight="1">
      <c r="A815" s="14">
        <f t="shared" si="13"/>
        <v>811</v>
      </c>
      <c r="B815" s="15" t="s">
        <v>1226</v>
      </c>
      <c r="C815" s="16" t="s">
        <v>608</v>
      </c>
      <c r="D815" s="16">
        <v>0.11</v>
      </c>
    </row>
    <row r="816" spans="1:4" ht="14.1" customHeight="1">
      <c r="A816" s="14">
        <f t="shared" si="13"/>
        <v>812</v>
      </c>
      <c r="B816" s="15" t="s">
        <v>1227</v>
      </c>
      <c r="C816" s="16" t="s">
        <v>608</v>
      </c>
      <c r="D816" s="16">
        <v>0.09</v>
      </c>
    </row>
    <row r="817" spans="1:4" ht="14.1" customHeight="1">
      <c r="A817" s="14">
        <f t="shared" si="13"/>
        <v>813</v>
      </c>
      <c r="B817" s="15" t="s">
        <v>1228</v>
      </c>
      <c r="C817" s="16" t="s">
        <v>608</v>
      </c>
      <c r="D817" s="16">
        <v>0.09</v>
      </c>
    </row>
    <row r="818" spans="1:4" ht="14.1" customHeight="1">
      <c r="A818" s="14">
        <f t="shared" si="13"/>
        <v>814</v>
      </c>
      <c r="B818" s="15" t="s">
        <v>1229</v>
      </c>
      <c r="C818" s="16" t="s">
        <v>608</v>
      </c>
      <c r="D818" s="16">
        <v>0.11</v>
      </c>
    </row>
    <row r="819" spans="1:4" ht="14.1" customHeight="1">
      <c r="A819" s="14">
        <f t="shared" si="13"/>
        <v>815</v>
      </c>
      <c r="B819" s="15" t="s">
        <v>1230</v>
      </c>
      <c r="C819" s="16" t="s">
        <v>608</v>
      </c>
      <c r="D819" s="16">
        <v>0.12</v>
      </c>
    </row>
    <row r="820" spans="1:4" ht="14.1" customHeight="1">
      <c r="A820" s="14">
        <f t="shared" si="13"/>
        <v>816</v>
      </c>
      <c r="B820" s="15" t="s">
        <v>1231</v>
      </c>
      <c r="C820" s="16" t="s">
        <v>608</v>
      </c>
      <c r="D820" s="16">
        <v>0.1</v>
      </c>
    </row>
    <row r="821" spans="1:4" ht="14.1" customHeight="1">
      <c r="A821" s="14">
        <f t="shared" si="13"/>
        <v>817</v>
      </c>
      <c r="B821" s="15" t="s">
        <v>1232</v>
      </c>
      <c r="C821" s="16" t="s">
        <v>608</v>
      </c>
      <c r="D821" s="16">
        <v>0.1</v>
      </c>
    </row>
    <row r="822" spans="1:4" ht="14.1" customHeight="1">
      <c r="A822" s="14">
        <f t="shared" si="13"/>
        <v>818</v>
      </c>
      <c r="B822" s="15" t="s">
        <v>1233</v>
      </c>
      <c r="C822" s="16" t="s">
        <v>608</v>
      </c>
      <c r="D822" s="16">
        <v>0.12</v>
      </c>
    </row>
    <row r="823" spans="1:4" ht="14.1" customHeight="1">
      <c r="A823" s="14">
        <f t="shared" si="13"/>
        <v>819</v>
      </c>
      <c r="B823" s="15" t="s">
        <v>1234</v>
      </c>
      <c r="C823" s="16" t="s">
        <v>608</v>
      </c>
      <c r="D823" s="16">
        <v>0.08</v>
      </c>
    </row>
    <row r="824" spans="1:4" ht="14.1" customHeight="1">
      <c r="A824" s="14">
        <f t="shared" si="13"/>
        <v>820</v>
      </c>
      <c r="B824" s="15" t="s">
        <v>1235</v>
      </c>
      <c r="C824" s="16" t="s">
        <v>608</v>
      </c>
      <c r="D824" s="16">
        <v>7.0000000000000007E-2</v>
      </c>
    </row>
    <row r="825" spans="1:4" ht="14.1" customHeight="1">
      <c r="A825" s="14">
        <f t="shared" si="13"/>
        <v>821</v>
      </c>
      <c r="B825" s="15" t="s">
        <v>1236</v>
      </c>
      <c r="C825" s="16" t="s">
        <v>608</v>
      </c>
      <c r="D825" s="16">
        <v>7.0000000000000007E-2</v>
      </c>
    </row>
    <row r="826" spans="1:4" ht="14.1" customHeight="1">
      <c r="A826" s="14">
        <f t="shared" si="13"/>
        <v>822</v>
      </c>
      <c r="B826" s="15" t="s">
        <v>1237</v>
      </c>
      <c r="C826" s="16" t="s">
        <v>608</v>
      </c>
      <c r="D826" s="16">
        <v>0.08</v>
      </c>
    </row>
    <row r="827" spans="1:4" ht="14.1" customHeight="1">
      <c r="A827" s="14">
        <f t="shared" si="13"/>
        <v>823</v>
      </c>
      <c r="B827" s="15" t="s">
        <v>1238</v>
      </c>
      <c r="C827" s="16" t="s">
        <v>608</v>
      </c>
      <c r="D827" s="16">
        <v>0.11</v>
      </c>
    </row>
    <row r="828" spans="1:4" ht="14.1" customHeight="1">
      <c r="A828" s="14">
        <f t="shared" si="13"/>
        <v>824</v>
      </c>
      <c r="B828" s="15" t="s">
        <v>1239</v>
      </c>
      <c r="C828" s="16" t="s">
        <v>608</v>
      </c>
      <c r="D828" s="16">
        <v>0.09</v>
      </c>
    </row>
    <row r="829" spans="1:4" ht="14.1" customHeight="1">
      <c r="A829" s="14">
        <f t="shared" si="13"/>
        <v>825</v>
      </c>
      <c r="B829" s="15" t="s">
        <v>1240</v>
      </c>
      <c r="C829" s="16" t="s">
        <v>608</v>
      </c>
      <c r="D829" s="16">
        <v>0.09</v>
      </c>
    </row>
    <row r="830" spans="1:4" ht="14.1" customHeight="1">
      <c r="A830" s="14">
        <f t="shared" si="13"/>
        <v>826</v>
      </c>
      <c r="B830" s="15" t="s">
        <v>1241</v>
      </c>
      <c r="C830" s="16" t="s">
        <v>608</v>
      </c>
      <c r="D830" s="16">
        <v>0.12</v>
      </c>
    </row>
    <row r="831" spans="1:4" ht="14.1" customHeight="1">
      <c r="A831" s="14">
        <f t="shared" si="13"/>
        <v>827</v>
      </c>
      <c r="B831" s="15" t="s">
        <v>1242</v>
      </c>
      <c r="C831" s="16" t="s">
        <v>608</v>
      </c>
      <c r="D831" s="16">
        <v>0.35</v>
      </c>
    </row>
    <row r="832" spans="1:4" ht="14.1" customHeight="1">
      <c r="A832" s="14">
        <f t="shared" si="13"/>
        <v>828</v>
      </c>
      <c r="B832" s="15" t="s">
        <v>1243</v>
      </c>
      <c r="C832" s="16" t="s">
        <v>608</v>
      </c>
      <c r="D832" s="16">
        <v>0.17</v>
      </c>
    </row>
    <row r="833" spans="1:4" ht="14.1" customHeight="1">
      <c r="A833" s="14">
        <f t="shared" si="13"/>
        <v>829</v>
      </c>
      <c r="B833" s="15" t="s">
        <v>1244</v>
      </c>
      <c r="C833" s="16" t="s">
        <v>608</v>
      </c>
      <c r="D833" s="16">
        <v>0.18</v>
      </c>
    </row>
    <row r="834" spans="1:4" ht="14.1" customHeight="1">
      <c r="A834" s="14">
        <f t="shared" si="13"/>
        <v>830</v>
      </c>
      <c r="B834" s="15" t="s">
        <v>1245</v>
      </c>
      <c r="C834" s="16" t="s">
        <v>608</v>
      </c>
      <c r="D834" s="16">
        <v>0.33</v>
      </c>
    </row>
    <row r="835" spans="1:4" ht="14.1" customHeight="1">
      <c r="A835" s="14">
        <f t="shared" si="13"/>
        <v>831</v>
      </c>
      <c r="B835" s="15" t="s">
        <v>1246</v>
      </c>
      <c r="C835" s="16" t="s">
        <v>608</v>
      </c>
      <c r="D835" s="16">
        <v>0.14000000000000001</v>
      </c>
    </row>
    <row r="836" spans="1:4" ht="14.1" customHeight="1">
      <c r="A836" s="14">
        <f t="shared" si="13"/>
        <v>832</v>
      </c>
      <c r="B836" s="15" t="s">
        <v>1247</v>
      </c>
      <c r="C836" s="16" t="s">
        <v>608</v>
      </c>
      <c r="D836" s="16">
        <v>0.1</v>
      </c>
    </row>
    <row r="837" spans="1:4" ht="14.1" customHeight="1">
      <c r="A837" s="14">
        <f t="shared" si="13"/>
        <v>833</v>
      </c>
      <c r="B837" s="15" t="s">
        <v>1248</v>
      </c>
      <c r="C837" s="16" t="s">
        <v>608</v>
      </c>
      <c r="D837" s="16">
        <v>0.1</v>
      </c>
    </row>
    <row r="838" spans="1:4" ht="14.1" customHeight="1">
      <c r="A838" s="14">
        <f t="shared" si="13"/>
        <v>834</v>
      </c>
      <c r="B838" s="15" t="s">
        <v>1249</v>
      </c>
      <c r="C838" s="16" t="s">
        <v>608</v>
      </c>
      <c r="D838" s="16">
        <v>0.13</v>
      </c>
    </row>
    <row r="839" spans="1:4" ht="14.1" customHeight="1">
      <c r="A839" s="14">
        <f t="shared" si="13"/>
        <v>835</v>
      </c>
      <c r="B839" s="15" t="s">
        <v>1250</v>
      </c>
      <c r="C839" s="16" t="s">
        <v>608</v>
      </c>
      <c r="D839" s="16">
        <v>0.13</v>
      </c>
    </row>
    <row r="840" spans="1:4" ht="14.1" customHeight="1">
      <c r="A840" s="14">
        <f t="shared" si="13"/>
        <v>836</v>
      </c>
      <c r="B840" s="15" t="s">
        <v>1251</v>
      </c>
      <c r="C840" s="16" t="s">
        <v>608</v>
      </c>
      <c r="D840" s="16">
        <v>0.09</v>
      </c>
    </row>
    <row r="841" spans="1:4" ht="14.1" customHeight="1">
      <c r="A841" s="14">
        <f t="shared" si="13"/>
        <v>837</v>
      </c>
      <c r="B841" s="15" t="s">
        <v>1252</v>
      </c>
      <c r="C841" s="16" t="s">
        <v>608</v>
      </c>
      <c r="D841" s="16">
        <v>0.1</v>
      </c>
    </row>
    <row r="842" spans="1:4" ht="14.1" customHeight="1">
      <c r="A842" s="14">
        <f t="shared" si="13"/>
        <v>838</v>
      </c>
      <c r="B842" s="15" t="s">
        <v>1253</v>
      </c>
      <c r="C842" s="16" t="s">
        <v>608</v>
      </c>
      <c r="D842" s="16">
        <v>0.13</v>
      </c>
    </row>
    <row r="843" spans="1:4" ht="14.1" customHeight="1">
      <c r="A843" s="14">
        <f t="shared" si="13"/>
        <v>839</v>
      </c>
      <c r="B843" s="15" t="s">
        <v>1254</v>
      </c>
      <c r="C843" s="16" t="s">
        <v>608</v>
      </c>
      <c r="D843" s="16">
        <v>0.11</v>
      </c>
    </row>
    <row r="844" spans="1:4" ht="14.1" customHeight="1">
      <c r="A844" s="14">
        <f t="shared" si="13"/>
        <v>840</v>
      </c>
      <c r="B844" s="15" t="s">
        <v>1255</v>
      </c>
      <c r="C844" s="16" t="s">
        <v>608</v>
      </c>
      <c r="D844" s="16">
        <v>0.08</v>
      </c>
    </row>
    <row r="845" spans="1:4" ht="14.1" customHeight="1">
      <c r="A845" s="14">
        <f t="shared" si="13"/>
        <v>841</v>
      </c>
      <c r="B845" s="15" t="s">
        <v>1256</v>
      </c>
      <c r="C845" s="16" t="s">
        <v>608</v>
      </c>
      <c r="D845" s="16">
        <v>0.08</v>
      </c>
    </row>
    <row r="846" spans="1:4" ht="14.1" customHeight="1">
      <c r="A846" s="14">
        <f t="shared" si="13"/>
        <v>842</v>
      </c>
      <c r="B846" s="15" t="s">
        <v>1257</v>
      </c>
      <c r="C846" s="16" t="s">
        <v>608</v>
      </c>
      <c r="D846" s="16">
        <v>0.1</v>
      </c>
    </row>
    <row r="847" spans="1:4" ht="14.1" customHeight="1">
      <c r="A847" s="14">
        <f t="shared" si="13"/>
        <v>843</v>
      </c>
      <c r="B847" s="15" t="s">
        <v>1258</v>
      </c>
      <c r="C847" s="16" t="s">
        <v>608</v>
      </c>
      <c r="D847" s="16">
        <v>0.1</v>
      </c>
    </row>
    <row r="848" spans="1:4" ht="14.1" customHeight="1">
      <c r="A848" s="14">
        <f t="shared" si="13"/>
        <v>844</v>
      </c>
      <c r="B848" s="15" t="s">
        <v>1259</v>
      </c>
      <c r="C848" s="16" t="s">
        <v>608</v>
      </c>
      <c r="D848" s="16">
        <v>0.08</v>
      </c>
    </row>
    <row r="849" spans="1:4" ht="14.1" customHeight="1">
      <c r="A849" s="14">
        <f t="shared" si="13"/>
        <v>845</v>
      </c>
      <c r="B849" s="15" t="s">
        <v>1260</v>
      </c>
      <c r="C849" s="16" t="s">
        <v>608</v>
      </c>
      <c r="D849" s="16">
        <v>0.08</v>
      </c>
    </row>
    <row r="850" spans="1:4" ht="14.1" customHeight="1">
      <c r="A850" s="14">
        <f t="shared" si="13"/>
        <v>846</v>
      </c>
      <c r="B850" s="15" t="s">
        <v>1261</v>
      </c>
      <c r="C850" s="16" t="s">
        <v>608</v>
      </c>
      <c r="D850" s="16">
        <v>0.09</v>
      </c>
    </row>
    <row r="851" spans="1:4" ht="14.1" customHeight="1">
      <c r="A851" s="14">
        <f t="shared" si="13"/>
        <v>847</v>
      </c>
      <c r="B851" s="15" t="s">
        <v>1262</v>
      </c>
      <c r="C851" s="16" t="s">
        <v>608</v>
      </c>
      <c r="D851" s="16">
        <v>0.11</v>
      </c>
    </row>
    <row r="852" spans="1:4" ht="14.1" customHeight="1">
      <c r="A852" s="14">
        <f t="shared" si="13"/>
        <v>848</v>
      </c>
      <c r="B852" s="15" t="s">
        <v>1263</v>
      </c>
      <c r="C852" s="16" t="s">
        <v>608</v>
      </c>
      <c r="D852" s="16">
        <v>0.09</v>
      </c>
    </row>
    <row r="853" spans="1:4" ht="14.1" customHeight="1">
      <c r="A853" s="14">
        <f t="shared" si="13"/>
        <v>849</v>
      </c>
      <c r="B853" s="15" t="s">
        <v>1264</v>
      </c>
      <c r="C853" s="16" t="s">
        <v>608</v>
      </c>
      <c r="D853" s="16">
        <v>0.09</v>
      </c>
    </row>
    <row r="854" spans="1:4" ht="14.1" customHeight="1">
      <c r="A854" s="14">
        <f t="shared" si="13"/>
        <v>850</v>
      </c>
      <c r="B854" s="15" t="s">
        <v>1265</v>
      </c>
      <c r="C854" s="16" t="s">
        <v>608</v>
      </c>
      <c r="D854" s="16">
        <v>0.11</v>
      </c>
    </row>
    <row r="855" spans="1:4" ht="14.1" customHeight="1">
      <c r="A855" s="14">
        <f t="shared" si="13"/>
        <v>851</v>
      </c>
      <c r="B855" s="15" t="s">
        <v>1266</v>
      </c>
      <c r="C855" s="16" t="s">
        <v>608</v>
      </c>
      <c r="D855" s="16">
        <v>0.08</v>
      </c>
    </row>
    <row r="856" spans="1:4" ht="14.1" customHeight="1">
      <c r="A856" s="14">
        <f t="shared" si="13"/>
        <v>852</v>
      </c>
      <c r="B856" s="15" t="s">
        <v>1267</v>
      </c>
      <c r="C856" s="16" t="s">
        <v>608</v>
      </c>
      <c r="D856" s="16">
        <v>0.06</v>
      </c>
    </row>
    <row r="857" spans="1:4" ht="14.1" customHeight="1">
      <c r="A857" s="14">
        <f t="shared" si="13"/>
        <v>853</v>
      </c>
      <c r="B857" s="15" t="s">
        <v>1268</v>
      </c>
      <c r="C857" s="16" t="s">
        <v>608</v>
      </c>
      <c r="D857" s="16">
        <v>0.06</v>
      </c>
    </row>
    <row r="858" spans="1:4" ht="14.1" customHeight="1">
      <c r="A858" s="14">
        <f t="shared" si="13"/>
        <v>854</v>
      </c>
      <c r="B858" s="15" t="s">
        <v>1269</v>
      </c>
      <c r="C858" s="16" t="s">
        <v>608</v>
      </c>
      <c r="D858" s="16">
        <v>0.08</v>
      </c>
    </row>
    <row r="859" spans="1:4" ht="14.1" customHeight="1">
      <c r="A859" s="14">
        <f t="shared" si="13"/>
        <v>855</v>
      </c>
      <c r="B859" s="15" t="s">
        <v>1270</v>
      </c>
      <c r="C859" s="16" t="s">
        <v>608</v>
      </c>
      <c r="D859" s="16">
        <v>0.11</v>
      </c>
    </row>
    <row r="860" spans="1:4" ht="14.1" customHeight="1">
      <c r="A860" s="14">
        <f t="shared" si="13"/>
        <v>856</v>
      </c>
      <c r="B860" s="15" t="s">
        <v>1271</v>
      </c>
      <c r="C860" s="16" t="s">
        <v>608</v>
      </c>
      <c r="D860" s="16">
        <v>0.08</v>
      </c>
    </row>
    <row r="861" spans="1:4" ht="14.1" customHeight="1">
      <c r="A861" s="14">
        <f t="shared" si="13"/>
        <v>857</v>
      </c>
      <c r="B861" s="15" t="s">
        <v>1272</v>
      </c>
      <c r="C861" s="16" t="s">
        <v>608</v>
      </c>
      <c r="D861" s="16">
        <v>0.09</v>
      </c>
    </row>
    <row r="862" spans="1:4" ht="14.1" customHeight="1">
      <c r="A862" s="14">
        <f t="shared" si="13"/>
        <v>858</v>
      </c>
      <c r="B862" s="15" t="s">
        <v>1273</v>
      </c>
      <c r="C862" s="16" t="s">
        <v>608</v>
      </c>
      <c r="D862" s="16">
        <v>0.12</v>
      </c>
    </row>
    <row r="863" spans="1:4" ht="14.1" customHeight="1">
      <c r="A863" s="14">
        <f t="shared" si="13"/>
        <v>859</v>
      </c>
      <c r="B863" s="15" t="s">
        <v>1274</v>
      </c>
      <c r="C863" s="16" t="s">
        <v>608</v>
      </c>
      <c r="D863" s="16">
        <v>0.5</v>
      </c>
    </row>
    <row r="864" spans="1:4" ht="14.1" customHeight="1">
      <c r="A864" s="14">
        <f t="shared" si="13"/>
        <v>860</v>
      </c>
      <c r="B864" s="15" t="s">
        <v>1275</v>
      </c>
      <c r="C864" s="16" t="s">
        <v>608</v>
      </c>
      <c r="D864" s="16">
        <v>0.31</v>
      </c>
    </row>
    <row r="865" spans="1:4" ht="14.1" customHeight="1">
      <c r="A865" s="14">
        <f t="shared" si="13"/>
        <v>861</v>
      </c>
      <c r="B865" s="15" t="s">
        <v>1276</v>
      </c>
      <c r="C865" s="16" t="s">
        <v>608</v>
      </c>
      <c r="D865" s="16">
        <v>0.32</v>
      </c>
    </row>
    <row r="866" spans="1:4" ht="14.1" customHeight="1">
      <c r="A866" s="14">
        <f t="shared" si="13"/>
        <v>862</v>
      </c>
      <c r="B866" s="15" t="s">
        <v>1277</v>
      </c>
      <c r="C866" s="16" t="s">
        <v>608</v>
      </c>
      <c r="D866" s="16">
        <v>0.56000000000000005</v>
      </c>
    </row>
    <row r="867" spans="1:4" ht="14.1" customHeight="1">
      <c r="A867" s="14">
        <f t="shared" si="13"/>
        <v>863</v>
      </c>
      <c r="B867" s="15" t="s">
        <v>1278</v>
      </c>
      <c r="C867" s="16" t="s">
        <v>608</v>
      </c>
      <c r="D867" s="16">
        <v>0.15</v>
      </c>
    </row>
    <row r="868" spans="1:4" ht="14.1" customHeight="1">
      <c r="A868" s="14">
        <f t="shared" si="13"/>
        <v>864</v>
      </c>
      <c r="B868" s="15" t="s">
        <v>1279</v>
      </c>
      <c r="C868" s="16" t="s">
        <v>608</v>
      </c>
      <c r="D868" s="16">
        <v>0.13</v>
      </c>
    </row>
    <row r="869" spans="1:4" ht="14.1" customHeight="1">
      <c r="A869" s="14">
        <f t="shared" si="13"/>
        <v>865</v>
      </c>
      <c r="B869" s="15" t="s">
        <v>1280</v>
      </c>
      <c r="C869" s="16" t="s">
        <v>608</v>
      </c>
      <c r="D869" s="16">
        <v>0.13</v>
      </c>
    </row>
    <row r="870" spans="1:4" ht="14.1" customHeight="1">
      <c r="A870" s="14">
        <f t="shared" si="13"/>
        <v>866</v>
      </c>
      <c r="B870" s="15" t="s">
        <v>1281</v>
      </c>
      <c r="C870" s="16" t="s">
        <v>608</v>
      </c>
      <c r="D870" s="16">
        <v>0.16</v>
      </c>
    </row>
    <row r="871" spans="1:4" ht="14.1" customHeight="1">
      <c r="A871" s="14">
        <f t="shared" si="13"/>
        <v>867</v>
      </c>
      <c r="B871" s="15" t="s">
        <v>1282</v>
      </c>
      <c r="C871" s="16" t="s">
        <v>608</v>
      </c>
      <c r="D871" s="16">
        <v>0.15</v>
      </c>
    </row>
    <row r="872" spans="1:4" ht="14.1" customHeight="1">
      <c r="A872" s="14">
        <f t="shared" si="13"/>
        <v>868</v>
      </c>
      <c r="B872" s="15" t="s">
        <v>1283</v>
      </c>
      <c r="C872" s="16" t="s">
        <v>608</v>
      </c>
      <c r="D872" s="16">
        <v>0.12</v>
      </c>
    </row>
    <row r="873" spans="1:4" ht="14.1" customHeight="1">
      <c r="A873" s="14">
        <f t="shared" si="13"/>
        <v>869</v>
      </c>
      <c r="B873" s="15" t="s">
        <v>1284</v>
      </c>
      <c r="C873" s="16" t="s">
        <v>608</v>
      </c>
      <c r="D873" s="16">
        <v>0.12</v>
      </c>
    </row>
    <row r="874" spans="1:4" ht="14.1" customHeight="1">
      <c r="A874" s="14">
        <f t="shared" si="13"/>
        <v>870</v>
      </c>
      <c r="B874" s="15" t="s">
        <v>1285</v>
      </c>
      <c r="C874" s="16" t="s">
        <v>608</v>
      </c>
      <c r="D874" s="16">
        <v>0.15</v>
      </c>
    </row>
    <row r="875" spans="1:4" ht="14.1" customHeight="1">
      <c r="A875" s="14">
        <f t="shared" ref="A875:A947" si="14">A874+1</f>
        <v>871</v>
      </c>
      <c r="B875" s="15" t="s">
        <v>1286</v>
      </c>
      <c r="C875" s="16" t="s">
        <v>608</v>
      </c>
      <c r="D875" s="16">
        <v>0.12</v>
      </c>
    </row>
    <row r="876" spans="1:4" ht="14.1" customHeight="1">
      <c r="A876" s="14">
        <f t="shared" si="14"/>
        <v>872</v>
      </c>
      <c r="B876" s="15" t="s">
        <v>1287</v>
      </c>
      <c r="C876" s="16" t="s">
        <v>608</v>
      </c>
      <c r="D876" s="16">
        <v>0.1</v>
      </c>
    </row>
    <row r="877" spans="1:4" ht="14.1" customHeight="1">
      <c r="A877" s="14">
        <f t="shared" si="14"/>
        <v>873</v>
      </c>
      <c r="B877" s="15" t="s">
        <v>1288</v>
      </c>
      <c r="C877" s="16" t="s">
        <v>608</v>
      </c>
      <c r="D877" s="16">
        <v>0.1</v>
      </c>
    </row>
    <row r="878" spans="1:4" ht="14.1" customHeight="1">
      <c r="A878" s="14">
        <f t="shared" si="14"/>
        <v>874</v>
      </c>
      <c r="B878" s="15" t="s">
        <v>1289</v>
      </c>
      <c r="C878" s="16" t="s">
        <v>608</v>
      </c>
      <c r="D878" s="16">
        <v>0.12</v>
      </c>
    </row>
    <row r="879" spans="1:4" ht="14.1" customHeight="1">
      <c r="A879" s="14">
        <f t="shared" si="14"/>
        <v>875</v>
      </c>
      <c r="B879" s="15" t="s">
        <v>1290</v>
      </c>
      <c r="C879" s="16" t="s">
        <v>608</v>
      </c>
      <c r="D879" s="16">
        <v>0.11</v>
      </c>
    </row>
    <row r="880" spans="1:4" ht="14.1" customHeight="1">
      <c r="A880" s="14">
        <f t="shared" si="14"/>
        <v>876</v>
      </c>
      <c r="B880" s="15" t="s">
        <v>1291</v>
      </c>
      <c r="C880" s="16" t="s">
        <v>608</v>
      </c>
      <c r="D880" s="16">
        <v>0.1</v>
      </c>
    </row>
    <row r="881" spans="1:4" ht="14.1" customHeight="1">
      <c r="A881" s="14">
        <f t="shared" si="14"/>
        <v>877</v>
      </c>
      <c r="B881" s="15" t="s">
        <v>1292</v>
      </c>
      <c r="C881" s="16" t="s">
        <v>608</v>
      </c>
      <c r="D881" s="16">
        <v>0.1</v>
      </c>
    </row>
    <row r="882" spans="1:4" ht="14.1" customHeight="1">
      <c r="A882" s="14">
        <f t="shared" si="14"/>
        <v>878</v>
      </c>
      <c r="B882" s="15" t="s">
        <v>1293</v>
      </c>
      <c r="C882" s="16" t="s">
        <v>608</v>
      </c>
      <c r="D882" s="16">
        <v>0.11</v>
      </c>
    </row>
    <row r="883" spans="1:4" ht="14.1" customHeight="1">
      <c r="A883" s="14">
        <f t="shared" si="14"/>
        <v>879</v>
      </c>
      <c r="B883" s="15" t="s">
        <v>1294</v>
      </c>
      <c r="C883" s="16" t="s">
        <v>608</v>
      </c>
      <c r="D883" s="16">
        <v>0.12</v>
      </c>
    </row>
    <row r="884" spans="1:4" ht="14.1" customHeight="1">
      <c r="A884" s="14">
        <f t="shared" si="14"/>
        <v>880</v>
      </c>
      <c r="B884" s="15" t="s">
        <v>1295</v>
      </c>
      <c r="C884" s="16" t="s">
        <v>608</v>
      </c>
      <c r="D884" s="16">
        <v>0.11</v>
      </c>
    </row>
    <row r="885" spans="1:4" ht="14.1" customHeight="1">
      <c r="A885" s="14">
        <f t="shared" si="14"/>
        <v>881</v>
      </c>
      <c r="B885" s="15" t="s">
        <v>1296</v>
      </c>
      <c r="C885" s="16" t="s">
        <v>608</v>
      </c>
      <c r="D885" s="16">
        <v>0.11</v>
      </c>
    </row>
    <row r="886" spans="1:4" ht="14.1" customHeight="1">
      <c r="A886" s="14">
        <f t="shared" si="14"/>
        <v>882</v>
      </c>
      <c r="B886" s="15" t="s">
        <v>1297</v>
      </c>
      <c r="C886" s="16" t="s">
        <v>608</v>
      </c>
      <c r="D886" s="16">
        <v>0.13</v>
      </c>
    </row>
    <row r="887" spans="1:4" ht="14.1" customHeight="1">
      <c r="A887" s="14">
        <f t="shared" si="14"/>
        <v>883</v>
      </c>
      <c r="B887" s="15" t="s">
        <v>1298</v>
      </c>
      <c r="C887" s="16" t="s">
        <v>608</v>
      </c>
      <c r="D887" s="16">
        <v>0.08</v>
      </c>
    </row>
    <row r="888" spans="1:4" ht="14.1" customHeight="1">
      <c r="A888" s="14">
        <f t="shared" si="14"/>
        <v>884</v>
      </c>
      <c r="B888" s="15" t="s">
        <v>1299</v>
      </c>
      <c r="C888" s="16" t="s">
        <v>608</v>
      </c>
      <c r="D888" s="16">
        <v>0.08</v>
      </c>
    </row>
    <row r="889" spans="1:4" ht="14.1" customHeight="1">
      <c r="A889" s="14">
        <f t="shared" si="14"/>
        <v>885</v>
      </c>
      <c r="B889" s="15" t="s">
        <v>1300</v>
      </c>
      <c r="C889" s="16" t="s">
        <v>608</v>
      </c>
      <c r="D889" s="16">
        <v>0.08</v>
      </c>
    </row>
    <row r="890" spans="1:4" ht="14.1" customHeight="1">
      <c r="A890" s="14">
        <f t="shared" si="14"/>
        <v>886</v>
      </c>
      <c r="B890" s="15" t="s">
        <v>1301</v>
      </c>
      <c r="C890" s="16" t="s">
        <v>608</v>
      </c>
      <c r="D890" s="16">
        <v>0.09</v>
      </c>
    </row>
    <row r="891" spans="1:4" ht="14.1" customHeight="1">
      <c r="A891" s="14">
        <f t="shared" si="14"/>
        <v>887</v>
      </c>
      <c r="B891" s="15" t="s">
        <v>1302</v>
      </c>
      <c r="C891" s="16" t="s">
        <v>608</v>
      </c>
      <c r="D891" s="16">
        <v>0.61</v>
      </c>
    </row>
    <row r="892" spans="1:4" ht="14.1" customHeight="1">
      <c r="A892" s="14">
        <f t="shared" si="14"/>
        <v>888</v>
      </c>
      <c r="B892" s="15" t="s">
        <v>1303</v>
      </c>
      <c r="C892" s="16" t="s">
        <v>608</v>
      </c>
      <c r="D892" s="16">
        <v>0.16</v>
      </c>
    </row>
    <row r="893" spans="1:4" ht="14.1" customHeight="1">
      <c r="A893" s="14">
        <f t="shared" si="14"/>
        <v>889</v>
      </c>
      <c r="B893" s="15" t="s">
        <v>1304</v>
      </c>
      <c r="C893" s="16" t="s">
        <v>608</v>
      </c>
      <c r="D893" s="16">
        <v>0.15</v>
      </c>
    </row>
    <row r="894" spans="1:4" ht="14.1" customHeight="1">
      <c r="A894" s="14">
        <f t="shared" si="14"/>
        <v>890</v>
      </c>
      <c r="B894" s="15" t="s">
        <v>1305</v>
      </c>
      <c r="C894" s="16" t="s">
        <v>608</v>
      </c>
      <c r="D894" s="16">
        <v>0.12</v>
      </c>
    </row>
    <row r="895" spans="1:4" ht="14.1" customHeight="1">
      <c r="A895" s="14">
        <f t="shared" si="14"/>
        <v>891</v>
      </c>
      <c r="B895" s="15" t="s">
        <v>1306</v>
      </c>
      <c r="C895" s="16" t="s">
        <v>608</v>
      </c>
      <c r="D895" s="16">
        <v>0.12</v>
      </c>
    </row>
    <row r="896" spans="1:4" ht="14.1" customHeight="1">
      <c r="A896" s="14">
        <f t="shared" si="14"/>
        <v>892</v>
      </c>
      <c r="B896" s="15" t="s">
        <v>1307</v>
      </c>
      <c r="C896" s="16" t="s">
        <v>608</v>
      </c>
      <c r="D896" s="16">
        <v>0.13</v>
      </c>
    </row>
    <row r="897" spans="1:4" ht="14.1" customHeight="1">
      <c r="A897" s="14">
        <f t="shared" si="14"/>
        <v>893</v>
      </c>
      <c r="B897" s="15" t="s">
        <v>1308</v>
      </c>
      <c r="C897" s="16" t="s">
        <v>608</v>
      </c>
      <c r="D897" s="16">
        <v>0.09</v>
      </c>
    </row>
    <row r="898" spans="1:4" ht="14.1" customHeight="1">
      <c r="A898" s="14">
        <f t="shared" si="14"/>
        <v>894</v>
      </c>
      <c r="B898" s="15" t="s">
        <v>1309</v>
      </c>
      <c r="C898" s="16" t="s">
        <v>1310</v>
      </c>
      <c r="D898" s="16">
        <v>0.81599999999999995</v>
      </c>
    </row>
    <row r="899" spans="1:4" ht="14.1" customHeight="1">
      <c r="A899" s="14">
        <f t="shared" si="14"/>
        <v>895</v>
      </c>
      <c r="B899" s="15" t="s">
        <v>0</v>
      </c>
      <c r="C899" s="16" t="s">
        <v>1310</v>
      </c>
      <c r="D899" s="16">
        <v>0.161</v>
      </c>
    </row>
    <row r="900" spans="1:4" ht="14.1" customHeight="1">
      <c r="A900" s="14">
        <f t="shared" si="14"/>
        <v>896</v>
      </c>
      <c r="B900" s="15" t="s">
        <v>1</v>
      </c>
      <c r="C900" s="16" t="s">
        <v>1310</v>
      </c>
      <c r="D900" s="16">
        <v>0.13800000000000001</v>
      </c>
    </row>
    <row r="901" spans="1:4" ht="14.1" customHeight="1">
      <c r="A901" s="14">
        <f t="shared" si="14"/>
        <v>897</v>
      </c>
      <c r="B901" s="15" t="s">
        <v>2</v>
      </c>
      <c r="C901" s="16" t="s">
        <v>1310</v>
      </c>
      <c r="D901" s="16">
        <v>0.122</v>
      </c>
    </row>
    <row r="902" spans="1:4" ht="14.1" customHeight="1">
      <c r="A902" s="14">
        <f t="shared" si="14"/>
        <v>898</v>
      </c>
      <c r="B902" s="15" t="s">
        <v>3</v>
      </c>
      <c r="C902" s="16" t="s">
        <v>1310</v>
      </c>
      <c r="D902" s="16">
        <v>0.108</v>
      </c>
    </row>
    <row r="903" spans="1:4" ht="14.1" customHeight="1">
      <c r="A903" s="14">
        <f t="shared" si="14"/>
        <v>899</v>
      </c>
      <c r="B903" s="15" t="s">
        <v>4</v>
      </c>
      <c r="C903" s="16" t="s">
        <v>1310</v>
      </c>
      <c r="D903" s="16">
        <v>9.8000000000000004E-2</v>
      </c>
    </row>
    <row r="904" spans="1:4" ht="14.1" customHeight="1">
      <c r="A904" s="14">
        <f t="shared" si="14"/>
        <v>900</v>
      </c>
      <c r="B904" s="15" t="s">
        <v>5</v>
      </c>
      <c r="C904" s="16" t="s">
        <v>1310</v>
      </c>
      <c r="D904" s="16">
        <v>8.8999999999999996E-2</v>
      </c>
    </row>
    <row r="905" spans="1:4" ht="14.1" customHeight="1">
      <c r="A905" s="14">
        <f t="shared" si="14"/>
        <v>901</v>
      </c>
      <c r="B905" s="15" t="s">
        <v>6</v>
      </c>
      <c r="C905" s="16" t="s">
        <v>1310</v>
      </c>
      <c r="D905" s="16">
        <v>0.74099999999999999</v>
      </c>
    </row>
    <row r="906" spans="1:4" ht="14.1" customHeight="1">
      <c r="A906" s="14">
        <f t="shared" si="14"/>
        <v>902</v>
      </c>
      <c r="B906" s="15" t="s">
        <v>7</v>
      </c>
      <c r="C906" s="16" t="s">
        <v>1310</v>
      </c>
      <c r="D906" s="16">
        <v>0.157</v>
      </c>
    </row>
    <row r="907" spans="1:4" ht="14.1" customHeight="1">
      <c r="A907" s="14">
        <f t="shared" si="14"/>
        <v>903</v>
      </c>
      <c r="B907" s="15" t="s">
        <v>8</v>
      </c>
      <c r="C907" s="16" t="s">
        <v>1310</v>
      </c>
      <c r="D907" s="16">
        <v>0.13600000000000001</v>
      </c>
    </row>
    <row r="908" spans="1:4" ht="14.1" customHeight="1">
      <c r="A908" s="14">
        <f t="shared" si="14"/>
        <v>904</v>
      </c>
      <c r="B908" s="15" t="s">
        <v>9</v>
      </c>
      <c r="C908" s="16" t="s">
        <v>1310</v>
      </c>
      <c r="D908" s="16">
        <v>0.12</v>
      </c>
    </row>
    <row r="909" spans="1:4" ht="14.1" customHeight="1">
      <c r="A909" s="14">
        <f t="shared" si="14"/>
        <v>905</v>
      </c>
      <c r="B909" s="15" t="s">
        <v>10</v>
      </c>
      <c r="C909" s="16" t="s">
        <v>1310</v>
      </c>
      <c r="D909" s="16">
        <v>0.107</v>
      </c>
    </row>
    <row r="910" spans="1:4" ht="14.1" customHeight="1">
      <c r="A910" s="14">
        <f t="shared" si="14"/>
        <v>906</v>
      </c>
      <c r="B910" s="15" t="s">
        <v>11</v>
      </c>
      <c r="C910" s="16" t="s">
        <v>1310</v>
      </c>
      <c r="D910" s="16">
        <v>9.7000000000000003E-2</v>
      </c>
    </row>
    <row r="911" spans="1:4" ht="14.1" customHeight="1">
      <c r="A911" s="14">
        <f t="shared" si="14"/>
        <v>907</v>
      </c>
      <c r="B911" s="15" t="s">
        <v>12</v>
      </c>
      <c r="C911" s="16" t="s">
        <v>1310</v>
      </c>
      <c r="D911" s="16">
        <v>8.7999999999999995E-2</v>
      </c>
    </row>
    <row r="912" spans="1:4" ht="14.1" customHeight="1">
      <c r="A912" s="14">
        <f t="shared" si="14"/>
        <v>908</v>
      </c>
      <c r="B912" s="15" t="s">
        <v>13</v>
      </c>
      <c r="C912" s="16" t="s">
        <v>1310</v>
      </c>
      <c r="D912" s="16">
        <v>0.67800000000000005</v>
      </c>
    </row>
    <row r="913" spans="1:4" ht="14.1" customHeight="1">
      <c r="A913" s="14">
        <f t="shared" si="14"/>
        <v>909</v>
      </c>
      <c r="B913" s="15" t="s">
        <v>14</v>
      </c>
      <c r="C913" s="16" t="s">
        <v>1310</v>
      </c>
      <c r="D913" s="16">
        <v>0.154</v>
      </c>
    </row>
    <row r="914" spans="1:4" ht="14.1" customHeight="1">
      <c r="A914" s="14">
        <f t="shared" si="14"/>
        <v>910</v>
      </c>
      <c r="B914" s="15" t="s">
        <v>15</v>
      </c>
      <c r="C914" s="16" t="s">
        <v>1310</v>
      </c>
      <c r="D914" s="16">
        <v>0.13400000000000001</v>
      </c>
    </row>
    <row r="915" spans="1:4" ht="14.1" customHeight="1">
      <c r="A915" s="14">
        <f t="shared" si="14"/>
        <v>911</v>
      </c>
      <c r="B915" s="15" t="s">
        <v>16</v>
      </c>
      <c r="C915" s="16" t="s">
        <v>1310</v>
      </c>
      <c r="D915" s="16">
        <v>0.11799999999999999</v>
      </c>
    </row>
    <row r="916" spans="1:4" ht="14.1" customHeight="1">
      <c r="A916" s="14">
        <f t="shared" si="14"/>
        <v>912</v>
      </c>
      <c r="B916" s="15" t="s">
        <v>17</v>
      </c>
      <c r="C916" s="16" t="s">
        <v>1310</v>
      </c>
      <c r="D916" s="16">
        <v>0.106</v>
      </c>
    </row>
    <row r="917" spans="1:4" ht="14.1" customHeight="1">
      <c r="A917" s="14">
        <f t="shared" si="14"/>
        <v>913</v>
      </c>
      <c r="B917" s="15" t="s">
        <v>18</v>
      </c>
      <c r="C917" s="16" t="s">
        <v>1310</v>
      </c>
      <c r="D917" s="16">
        <v>9.5000000000000001E-2</v>
      </c>
    </row>
    <row r="918" spans="1:4" ht="14.1" customHeight="1">
      <c r="A918" s="14">
        <f t="shared" si="14"/>
        <v>914</v>
      </c>
      <c r="B918" s="15" t="s">
        <v>19</v>
      </c>
      <c r="C918" s="16" t="s">
        <v>1310</v>
      </c>
      <c r="D918" s="16">
        <v>8.6999999999999994E-2</v>
      </c>
    </row>
    <row r="919" spans="1:4" ht="14.1" customHeight="1">
      <c r="A919" s="14">
        <f t="shared" si="14"/>
        <v>915</v>
      </c>
      <c r="B919" s="15" t="s">
        <v>20</v>
      </c>
      <c r="C919" s="16" t="s">
        <v>1310</v>
      </c>
      <c r="D919" s="16">
        <v>0.625</v>
      </c>
    </row>
    <row r="920" spans="1:4" ht="14.1" customHeight="1">
      <c r="A920" s="14">
        <f t="shared" si="14"/>
        <v>916</v>
      </c>
      <c r="B920" s="15" t="s">
        <v>21</v>
      </c>
      <c r="C920" s="16" t="s">
        <v>1310</v>
      </c>
      <c r="D920" s="16">
        <v>0.152</v>
      </c>
    </row>
    <row r="921" spans="1:4" ht="14.1" customHeight="1">
      <c r="A921" s="14">
        <f t="shared" si="14"/>
        <v>917</v>
      </c>
      <c r="B921" s="15" t="s">
        <v>22</v>
      </c>
      <c r="C921" s="16" t="s">
        <v>1310</v>
      </c>
      <c r="D921" s="16">
        <v>0.13200000000000001</v>
      </c>
    </row>
    <row r="922" spans="1:4" ht="14.1" customHeight="1">
      <c r="A922" s="14">
        <f t="shared" si="14"/>
        <v>918</v>
      </c>
      <c r="B922" s="15" t="s">
        <v>23</v>
      </c>
      <c r="C922" s="16" t="s">
        <v>1310</v>
      </c>
      <c r="D922" s="16">
        <v>0.11600000000000001</v>
      </c>
    </row>
    <row r="923" spans="1:4" ht="14.1" customHeight="1">
      <c r="A923" s="14">
        <f t="shared" si="14"/>
        <v>919</v>
      </c>
      <c r="B923" s="15" t="s">
        <v>24</v>
      </c>
      <c r="C923" s="16" t="s">
        <v>1310</v>
      </c>
      <c r="D923" s="16">
        <v>0.104</v>
      </c>
    </row>
    <row r="924" spans="1:4" ht="14.1" customHeight="1">
      <c r="A924" s="14">
        <f t="shared" si="14"/>
        <v>920</v>
      </c>
      <c r="B924" s="15" t="s">
        <v>25</v>
      </c>
      <c r="C924" s="16" t="s">
        <v>1310</v>
      </c>
      <c r="D924" s="16">
        <v>9.4E-2</v>
      </c>
    </row>
    <row r="925" spans="1:4" ht="14.1" customHeight="1">
      <c r="A925" s="14">
        <f t="shared" si="14"/>
        <v>921</v>
      </c>
      <c r="B925" s="15" t="s">
        <v>26</v>
      </c>
      <c r="C925" s="16" t="s">
        <v>1310</v>
      </c>
      <c r="D925" s="16">
        <v>8.5999999999999993E-2</v>
      </c>
    </row>
    <row r="926" spans="1:4" ht="14.1" customHeight="1">
      <c r="A926" s="14">
        <f t="shared" si="14"/>
        <v>922</v>
      </c>
      <c r="B926" s="77" t="s">
        <v>2810</v>
      </c>
      <c r="C926" s="152" t="s">
        <v>2818</v>
      </c>
      <c r="D926" s="16">
        <v>4.4999999999999998E-2</v>
      </c>
    </row>
    <row r="927" spans="1:4" ht="14.1" customHeight="1">
      <c r="A927" s="14">
        <f t="shared" si="14"/>
        <v>923</v>
      </c>
      <c r="B927" s="77" t="s">
        <v>2811</v>
      </c>
      <c r="C927" s="152" t="s">
        <v>2818</v>
      </c>
      <c r="D927" s="16">
        <v>4.2000000000000003E-2</v>
      </c>
    </row>
    <row r="928" spans="1:4" ht="14.1" customHeight="1">
      <c r="A928" s="14">
        <f t="shared" si="14"/>
        <v>924</v>
      </c>
      <c r="B928" s="77" t="s">
        <v>2812</v>
      </c>
      <c r="C928" s="152" t="s">
        <v>2818</v>
      </c>
      <c r="D928" s="16">
        <v>3.7999999999999999E-2</v>
      </c>
    </row>
    <row r="929" spans="1:6" ht="14.1" customHeight="1">
      <c r="A929" s="14">
        <f t="shared" si="14"/>
        <v>925</v>
      </c>
      <c r="B929" s="77" t="s">
        <v>2813</v>
      </c>
      <c r="C929" s="152" t="s">
        <v>2818</v>
      </c>
      <c r="D929" s="16">
        <v>3.6999999999999998E-2</v>
      </c>
    </row>
    <row r="930" spans="1:6" ht="14.1" customHeight="1">
      <c r="A930" s="14">
        <f t="shared" si="14"/>
        <v>926</v>
      </c>
      <c r="B930" s="77" t="s">
        <v>2814</v>
      </c>
      <c r="C930" s="152" t="s">
        <v>2818</v>
      </c>
      <c r="D930" s="16">
        <v>3.3000000000000002E-2</v>
      </c>
    </row>
    <row r="931" spans="1:6" ht="14.1" customHeight="1">
      <c r="A931" s="14">
        <f t="shared" si="14"/>
        <v>927</v>
      </c>
      <c r="B931" s="77" t="s">
        <v>2815</v>
      </c>
      <c r="C931" s="152" t="s">
        <v>2818</v>
      </c>
      <c r="D931" s="16">
        <v>0.03</v>
      </c>
    </row>
    <row r="932" spans="1:6" ht="14.1" customHeight="1">
      <c r="A932" s="14">
        <f t="shared" si="14"/>
        <v>928</v>
      </c>
      <c r="B932" s="77" t="s">
        <v>2816</v>
      </c>
      <c r="C932" s="152" t="s">
        <v>2818</v>
      </c>
      <c r="D932" s="16">
        <v>2.4E-2</v>
      </c>
    </row>
    <row r="933" spans="1:6" ht="14.1" customHeight="1">
      <c r="A933" s="14">
        <f t="shared" si="14"/>
        <v>929</v>
      </c>
      <c r="B933" s="77" t="s">
        <v>2817</v>
      </c>
      <c r="C933" s="152" t="s">
        <v>2818</v>
      </c>
      <c r="D933" s="16">
        <v>0.02</v>
      </c>
    </row>
    <row r="934" spans="1:6" ht="37.5" customHeight="1">
      <c r="A934" s="14">
        <f t="shared" si="14"/>
        <v>930</v>
      </c>
      <c r="B934" s="101" t="str">
        <f>'Flat-Vaulted Ceilings'!$B$339</f>
        <v xml:space="preserve">== Custom Entries per WSEC R402.1.5 U-factor Reference and Calculations ========  </v>
      </c>
      <c r="E934" s="439" t="s">
        <v>2353</v>
      </c>
      <c r="F934" s="1055" t="str">
        <f>'Flat-Vaulted Ceilings'!$F$339</f>
        <v>Your entries appear at bottom of drowdown menus on "Group R" tab</v>
      </c>
    </row>
    <row r="935" spans="1:6" ht="14.1" customHeight="1">
      <c r="A935" s="14">
        <f t="shared" si="14"/>
        <v>931</v>
      </c>
      <c r="B935" s="39" t="s">
        <v>2106</v>
      </c>
      <c r="C935" s="16" t="s">
        <v>1679</v>
      </c>
      <c r="D935" s="19">
        <v>2.8000000000000001E-2</v>
      </c>
      <c r="E935" s="19"/>
      <c r="F935" s="203" t="str">
        <f t="shared" ref="F935:F989" si="15">IF(AND(B936&lt;&gt;"",B935=""),"Don't skip lines",IF(AND(D935="",B935&lt;&gt;""),"Enter U-value",IF(AND(D935&lt;&gt;"",B935=""),"Enter Description","")))</f>
        <v/>
      </c>
    </row>
    <row r="936" spans="1:6" ht="14.1" customHeight="1">
      <c r="A936" s="14">
        <f t="shared" si="14"/>
        <v>932</v>
      </c>
      <c r="B936" s="18" t="s">
        <v>2822</v>
      </c>
      <c r="C936" s="16" t="s">
        <v>1679</v>
      </c>
      <c r="D936" s="19">
        <v>5.1999999999999998E-2</v>
      </c>
      <c r="E936" s="19"/>
      <c r="F936" s="203" t="str">
        <f t="shared" si="15"/>
        <v/>
      </c>
    </row>
    <row r="937" spans="1:6" ht="14.1" customHeight="1">
      <c r="A937" s="14">
        <f t="shared" si="14"/>
        <v>933</v>
      </c>
      <c r="B937" s="39" t="s">
        <v>2975</v>
      </c>
      <c r="C937" s="16" t="s">
        <v>1679</v>
      </c>
      <c r="D937" s="19">
        <v>0.1</v>
      </c>
      <c r="E937" s="195" t="s">
        <v>2976</v>
      </c>
      <c r="F937" s="203" t="str">
        <f t="shared" si="15"/>
        <v/>
      </c>
    </row>
    <row r="938" spans="1:6" ht="14.1" customHeight="1">
      <c r="A938" s="14">
        <f t="shared" si="14"/>
        <v>934</v>
      </c>
      <c r="B938" s="18"/>
      <c r="C938" s="16" t="s">
        <v>1679</v>
      </c>
      <c r="D938" s="19"/>
      <c r="E938" s="19"/>
      <c r="F938" s="203" t="str">
        <f t="shared" si="15"/>
        <v/>
      </c>
    </row>
    <row r="939" spans="1:6" ht="14.1" customHeight="1">
      <c r="A939" s="14">
        <f t="shared" si="14"/>
        <v>935</v>
      </c>
      <c r="B939" s="18"/>
      <c r="C939" s="16" t="s">
        <v>1679</v>
      </c>
      <c r="D939" s="19"/>
      <c r="E939" s="19"/>
      <c r="F939" s="203" t="str">
        <f t="shared" si="15"/>
        <v/>
      </c>
    </row>
    <row r="940" spans="1:6" ht="14.1" customHeight="1">
      <c r="A940" s="14">
        <f t="shared" si="14"/>
        <v>936</v>
      </c>
      <c r="B940" s="18"/>
      <c r="C940" s="16" t="s">
        <v>1679</v>
      </c>
      <c r="D940" s="19"/>
      <c r="E940" s="19"/>
      <c r="F940" s="203" t="str">
        <f t="shared" si="15"/>
        <v/>
      </c>
    </row>
    <row r="941" spans="1:6" ht="14.1" customHeight="1">
      <c r="A941" s="14">
        <f t="shared" si="14"/>
        <v>937</v>
      </c>
      <c r="B941" s="18"/>
      <c r="C941" s="16" t="s">
        <v>1679</v>
      </c>
      <c r="D941" s="19"/>
      <c r="E941" s="19"/>
      <c r="F941" s="203" t="str">
        <f t="shared" si="15"/>
        <v/>
      </c>
    </row>
    <row r="942" spans="1:6" ht="14.1" customHeight="1">
      <c r="A942" s="14">
        <f t="shared" si="14"/>
        <v>938</v>
      </c>
      <c r="B942" s="18"/>
      <c r="C942" s="16" t="s">
        <v>1679</v>
      </c>
      <c r="D942" s="19"/>
      <c r="E942" s="19"/>
      <c r="F942" s="203" t="str">
        <f t="shared" si="15"/>
        <v/>
      </c>
    </row>
    <row r="943" spans="1:6" ht="14.1" customHeight="1">
      <c r="A943" s="14">
        <f t="shared" si="14"/>
        <v>939</v>
      </c>
      <c r="B943" s="18"/>
      <c r="C943" s="16" t="s">
        <v>1679</v>
      </c>
      <c r="D943" s="19"/>
      <c r="E943" s="19"/>
      <c r="F943" s="203" t="str">
        <f t="shared" si="15"/>
        <v/>
      </c>
    </row>
    <row r="944" spans="1:6" ht="14.1" customHeight="1">
      <c r="A944" s="14">
        <f t="shared" si="14"/>
        <v>940</v>
      </c>
      <c r="B944" s="18"/>
      <c r="C944" s="16" t="s">
        <v>1679</v>
      </c>
      <c r="D944" s="19"/>
      <c r="E944" s="19"/>
      <c r="F944" s="203" t="str">
        <f t="shared" si="15"/>
        <v/>
      </c>
    </row>
    <row r="945" spans="1:6" ht="14.1" customHeight="1">
      <c r="A945" s="14">
        <f t="shared" si="14"/>
        <v>941</v>
      </c>
      <c r="B945" s="18"/>
      <c r="C945" s="16" t="s">
        <v>1679</v>
      </c>
      <c r="D945" s="19"/>
      <c r="E945" s="19"/>
      <c r="F945" s="203" t="str">
        <f t="shared" si="15"/>
        <v/>
      </c>
    </row>
    <row r="946" spans="1:6" ht="14.1" customHeight="1">
      <c r="A946" s="14">
        <f t="shared" si="14"/>
        <v>942</v>
      </c>
      <c r="B946" s="18"/>
      <c r="C946" s="16" t="s">
        <v>1679</v>
      </c>
      <c r="D946" s="19"/>
      <c r="E946" s="19"/>
      <c r="F946" s="203" t="str">
        <f t="shared" si="15"/>
        <v/>
      </c>
    </row>
    <row r="947" spans="1:6" ht="14.1" customHeight="1">
      <c r="A947" s="14">
        <f t="shared" si="14"/>
        <v>943</v>
      </c>
      <c r="B947" s="18"/>
      <c r="C947" s="16" t="s">
        <v>1679</v>
      </c>
      <c r="D947" s="19"/>
      <c r="E947" s="19"/>
      <c r="F947" s="203" t="str">
        <f t="shared" si="15"/>
        <v/>
      </c>
    </row>
    <row r="948" spans="1:6" ht="14.1" customHeight="1">
      <c r="A948" s="14">
        <f t="shared" ref="A948:A989" si="16">A947+1</f>
        <v>944</v>
      </c>
      <c r="B948" s="18"/>
      <c r="C948" s="16" t="s">
        <v>1679</v>
      </c>
      <c r="D948" s="19"/>
      <c r="E948" s="19"/>
      <c r="F948" s="203" t="str">
        <f t="shared" si="15"/>
        <v/>
      </c>
    </row>
    <row r="949" spans="1:6" ht="14.1" customHeight="1">
      <c r="A949" s="14">
        <f t="shared" si="16"/>
        <v>945</v>
      </c>
      <c r="B949" s="18"/>
      <c r="C949" s="16" t="s">
        <v>1679</v>
      </c>
      <c r="D949" s="19"/>
      <c r="E949" s="19"/>
      <c r="F949" s="203" t="str">
        <f t="shared" si="15"/>
        <v/>
      </c>
    </row>
    <row r="950" spans="1:6" ht="14.1" customHeight="1">
      <c r="A950" s="14">
        <f t="shared" si="16"/>
        <v>946</v>
      </c>
      <c r="B950" s="18"/>
      <c r="C950" s="16" t="s">
        <v>1679</v>
      </c>
      <c r="D950" s="19"/>
      <c r="E950" s="19"/>
      <c r="F950" s="203" t="str">
        <f t="shared" si="15"/>
        <v/>
      </c>
    </row>
    <row r="951" spans="1:6" ht="14.1" customHeight="1">
      <c r="A951" s="14">
        <f t="shared" si="16"/>
        <v>947</v>
      </c>
      <c r="B951" s="18"/>
      <c r="C951" s="16" t="s">
        <v>1679</v>
      </c>
      <c r="D951" s="19"/>
      <c r="E951" s="19"/>
      <c r="F951" s="203" t="str">
        <f t="shared" si="15"/>
        <v/>
      </c>
    </row>
    <row r="952" spans="1:6" ht="14.1" customHeight="1">
      <c r="A952" s="14">
        <f t="shared" si="16"/>
        <v>948</v>
      </c>
      <c r="B952" s="18"/>
      <c r="C952" s="16" t="s">
        <v>1679</v>
      </c>
      <c r="D952" s="19"/>
      <c r="E952" s="19"/>
      <c r="F952" s="203" t="str">
        <f t="shared" si="15"/>
        <v/>
      </c>
    </row>
    <row r="953" spans="1:6" ht="14.1" customHeight="1">
      <c r="A953" s="14">
        <f t="shared" si="16"/>
        <v>949</v>
      </c>
      <c r="B953" s="18"/>
      <c r="C953" s="16" t="s">
        <v>1679</v>
      </c>
      <c r="D953" s="19"/>
      <c r="E953" s="19"/>
      <c r="F953" s="203" t="str">
        <f t="shared" si="15"/>
        <v/>
      </c>
    </row>
    <row r="954" spans="1:6" ht="14.1" customHeight="1">
      <c r="A954" s="14">
        <f t="shared" si="16"/>
        <v>950</v>
      </c>
      <c r="B954" s="18"/>
      <c r="C954" s="16" t="s">
        <v>1679</v>
      </c>
      <c r="D954" s="19"/>
      <c r="E954" s="19"/>
      <c r="F954" s="203" t="str">
        <f t="shared" si="15"/>
        <v/>
      </c>
    </row>
    <row r="955" spans="1:6" ht="14.1" customHeight="1">
      <c r="A955" s="14">
        <f t="shared" si="16"/>
        <v>951</v>
      </c>
      <c r="B955" s="18"/>
      <c r="C955" s="16" t="s">
        <v>1679</v>
      </c>
      <c r="D955" s="19"/>
      <c r="E955" s="19"/>
      <c r="F955" s="203" t="str">
        <f t="shared" si="15"/>
        <v/>
      </c>
    </row>
    <row r="956" spans="1:6" ht="14.1" customHeight="1">
      <c r="A956" s="14">
        <f t="shared" si="16"/>
        <v>952</v>
      </c>
      <c r="B956" s="18"/>
      <c r="C956" s="16" t="s">
        <v>1679</v>
      </c>
      <c r="D956" s="19"/>
      <c r="E956" s="19"/>
      <c r="F956" s="203" t="str">
        <f t="shared" si="15"/>
        <v/>
      </c>
    </row>
    <row r="957" spans="1:6" ht="14.1" customHeight="1">
      <c r="A957" s="14">
        <f t="shared" si="16"/>
        <v>953</v>
      </c>
      <c r="B957" s="18"/>
      <c r="C957" s="16" t="s">
        <v>1679</v>
      </c>
      <c r="D957" s="19"/>
      <c r="E957" s="19"/>
      <c r="F957" s="203" t="str">
        <f t="shared" si="15"/>
        <v/>
      </c>
    </row>
    <row r="958" spans="1:6" ht="14.1" customHeight="1">
      <c r="A958" s="14">
        <f t="shared" si="16"/>
        <v>954</v>
      </c>
      <c r="B958" s="18"/>
      <c r="C958" s="16" t="s">
        <v>1679</v>
      </c>
      <c r="D958" s="19"/>
      <c r="E958" s="19"/>
      <c r="F958" s="203" t="str">
        <f t="shared" si="15"/>
        <v/>
      </c>
    </row>
    <row r="959" spans="1:6" ht="14.1" customHeight="1">
      <c r="A959" s="14">
        <f t="shared" si="16"/>
        <v>955</v>
      </c>
      <c r="B959" s="18"/>
      <c r="C959" s="16" t="s">
        <v>1679</v>
      </c>
      <c r="D959" s="19"/>
      <c r="E959" s="19"/>
      <c r="F959" s="203" t="str">
        <f t="shared" si="15"/>
        <v/>
      </c>
    </row>
    <row r="960" spans="1:6" ht="14.1" customHeight="1">
      <c r="A960" s="14">
        <f t="shared" si="16"/>
        <v>956</v>
      </c>
      <c r="B960" s="18"/>
      <c r="C960" s="16" t="s">
        <v>1679</v>
      </c>
      <c r="D960" s="19"/>
      <c r="E960" s="19"/>
      <c r="F960" s="203" t="str">
        <f t="shared" si="15"/>
        <v/>
      </c>
    </row>
    <row r="961" spans="1:6" ht="14.1" customHeight="1">
      <c r="A961" s="14">
        <f t="shared" si="16"/>
        <v>957</v>
      </c>
      <c r="B961" s="18"/>
      <c r="C961" s="16" t="s">
        <v>1679</v>
      </c>
      <c r="D961" s="19"/>
      <c r="E961" s="19"/>
      <c r="F961" s="203" t="str">
        <f t="shared" si="15"/>
        <v/>
      </c>
    </row>
    <row r="962" spans="1:6" ht="14.1" customHeight="1">
      <c r="A962" s="14">
        <f t="shared" si="16"/>
        <v>958</v>
      </c>
      <c r="B962" s="18"/>
      <c r="C962" s="16" t="s">
        <v>1679</v>
      </c>
      <c r="D962" s="19"/>
      <c r="E962" s="19"/>
      <c r="F962" s="203" t="str">
        <f t="shared" si="15"/>
        <v/>
      </c>
    </row>
    <row r="963" spans="1:6" ht="14.1" customHeight="1">
      <c r="A963" s="14">
        <f t="shared" si="16"/>
        <v>959</v>
      </c>
      <c r="B963" s="18"/>
      <c r="C963" s="16" t="s">
        <v>1679</v>
      </c>
      <c r="D963" s="19"/>
      <c r="E963" s="19"/>
      <c r="F963" s="203" t="str">
        <f t="shared" si="15"/>
        <v/>
      </c>
    </row>
    <row r="964" spans="1:6" ht="14.1" customHeight="1">
      <c r="A964" s="14">
        <f t="shared" si="16"/>
        <v>960</v>
      </c>
      <c r="B964" s="18"/>
      <c r="C964" s="16" t="s">
        <v>1679</v>
      </c>
      <c r="D964" s="19"/>
      <c r="E964" s="19"/>
      <c r="F964" s="203" t="str">
        <f t="shared" si="15"/>
        <v/>
      </c>
    </row>
    <row r="965" spans="1:6" ht="14.1" customHeight="1">
      <c r="A965" s="14">
        <f t="shared" si="16"/>
        <v>961</v>
      </c>
      <c r="B965" s="18"/>
      <c r="C965" s="16" t="s">
        <v>1679</v>
      </c>
      <c r="D965" s="19"/>
      <c r="E965" s="19"/>
      <c r="F965" s="203" t="str">
        <f t="shared" si="15"/>
        <v/>
      </c>
    </row>
    <row r="966" spans="1:6" ht="14.1" customHeight="1">
      <c r="A966" s="14">
        <f t="shared" si="16"/>
        <v>962</v>
      </c>
      <c r="B966" s="18"/>
      <c r="C966" s="16" t="s">
        <v>1679</v>
      </c>
      <c r="D966" s="19"/>
      <c r="E966" s="19"/>
      <c r="F966" s="203" t="str">
        <f t="shared" si="15"/>
        <v/>
      </c>
    </row>
    <row r="967" spans="1:6" ht="14.1" customHeight="1">
      <c r="A967" s="14">
        <f t="shared" si="16"/>
        <v>963</v>
      </c>
      <c r="B967" s="18"/>
      <c r="C967" s="16" t="s">
        <v>1679</v>
      </c>
      <c r="D967" s="19"/>
      <c r="E967" s="19"/>
      <c r="F967" s="203" t="str">
        <f t="shared" si="15"/>
        <v/>
      </c>
    </row>
    <row r="968" spans="1:6" ht="14.1" customHeight="1">
      <c r="A968" s="14">
        <f t="shared" si="16"/>
        <v>964</v>
      </c>
      <c r="B968" s="18"/>
      <c r="C968" s="16" t="s">
        <v>1679</v>
      </c>
      <c r="D968" s="19"/>
      <c r="E968" s="19"/>
      <c r="F968" s="203" t="str">
        <f t="shared" si="15"/>
        <v/>
      </c>
    </row>
    <row r="969" spans="1:6" ht="14.1" customHeight="1">
      <c r="A969" s="14">
        <f t="shared" si="16"/>
        <v>965</v>
      </c>
      <c r="B969" s="18"/>
      <c r="C969" s="16" t="s">
        <v>1679</v>
      </c>
      <c r="D969" s="19"/>
      <c r="E969" s="19"/>
      <c r="F969" s="203" t="str">
        <f t="shared" si="15"/>
        <v/>
      </c>
    </row>
    <row r="970" spans="1:6" ht="14.1" customHeight="1">
      <c r="A970" s="14">
        <f t="shared" si="16"/>
        <v>966</v>
      </c>
      <c r="B970" s="18"/>
      <c r="C970" s="16" t="s">
        <v>1679</v>
      </c>
      <c r="D970" s="19"/>
      <c r="E970" s="19"/>
      <c r="F970" s="203" t="str">
        <f t="shared" si="15"/>
        <v/>
      </c>
    </row>
    <row r="971" spans="1:6" ht="14.1" customHeight="1">
      <c r="A971" s="14">
        <f t="shared" si="16"/>
        <v>967</v>
      </c>
      <c r="B971" s="18"/>
      <c r="C971" s="16" t="s">
        <v>1679</v>
      </c>
      <c r="D971" s="19"/>
      <c r="E971" s="19"/>
      <c r="F971" s="203" t="str">
        <f t="shared" si="15"/>
        <v/>
      </c>
    </row>
    <row r="972" spans="1:6" ht="14.1" customHeight="1">
      <c r="A972" s="14">
        <f t="shared" si="16"/>
        <v>968</v>
      </c>
      <c r="B972" s="18"/>
      <c r="C972" s="16" t="s">
        <v>1679</v>
      </c>
      <c r="D972" s="19"/>
      <c r="E972" s="19"/>
      <c r="F972" s="203" t="str">
        <f t="shared" si="15"/>
        <v/>
      </c>
    </row>
    <row r="973" spans="1:6" ht="14.1" customHeight="1">
      <c r="A973" s="14">
        <f t="shared" si="16"/>
        <v>969</v>
      </c>
      <c r="B973" s="18"/>
      <c r="C973" s="16" t="s">
        <v>1679</v>
      </c>
      <c r="D973" s="19"/>
      <c r="E973" s="19"/>
      <c r="F973" s="203" t="str">
        <f t="shared" si="15"/>
        <v/>
      </c>
    </row>
    <row r="974" spans="1:6" ht="14.1" customHeight="1">
      <c r="A974" s="14">
        <f t="shared" si="16"/>
        <v>970</v>
      </c>
      <c r="B974" s="18"/>
      <c r="C974" s="16" t="s">
        <v>1679</v>
      </c>
      <c r="D974" s="19"/>
      <c r="E974" s="19"/>
      <c r="F974" s="203" t="str">
        <f t="shared" si="15"/>
        <v/>
      </c>
    </row>
    <row r="975" spans="1:6" ht="14.1" customHeight="1">
      <c r="A975" s="14">
        <f t="shared" si="16"/>
        <v>971</v>
      </c>
      <c r="B975" s="18"/>
      <c r="C975" s="16" t="s">
        <v>1679</v>
      </c>
      <c r="D975" s="19"/>
      <c r="E975" s="19"/>
      <c r="F975" s="203" t="str">
        <f t="shared" si="15"/>
        <v/>
      </c>
    </row>
    <row r="976" spans="1:6" ht="14.1" customHeight="1">
      <c r="A976" s="14">
        <f t="shared" si="16"/>
        <v>972</v>
      </c>
      <c r="B976" s="18"/>
      <c r="C976" s="16" t="s">
        <v>1679</v>
      </c>
      <c r="D976" s="19"/>
      <c r="E976" s="19"/>
      <c r="F976" s="203" t="str">
        <f t="shared" si="15"/>
        <v/>
      </c>
    </row>
    <row r="977" spans="1:6" ht="14.1" customHeight="1">
      <c r="A977" s="14">
        <f t="shared" si="16"/>
        <v>973</v>
      </c>
      <c r="B977" s="18"/>
      <c r="C977" s="16" t="s">
        <v>1679</v>
      </c>
      <c r="D977" s="19"/>
      <c r="E977" s="19"/>
      <c r="F977" s="203" t="str">
        <f t="shared" si="15"/>
        <v/>
      </c>
    </row>
    <row r="978" spans="1:6" ht="14.1" customHeight="1">
      <c r="A978" s="14">
        <f t="shared" si="16"/>
        <v>974</v>
      </c>
      <c r="B978" s="18"/>
      <c r="C978" s="16" t="s">
        <v>1679</v>
      </c>
      <c r="D978" s="19"/>
      <c r="E978" s="19"/>
      <c r="F978" s="203" t="str">
        <f t="shared" si="15"/>
        <v/>
      </c>
    </row>
    <row r="979" spans="1:6" ht="14.1" customHeight="1">
      <c r="A979" s="14">
        <f t="shared" si="16"/>
        <v>975</v>
      </c>
      <c r="B979" s="18"/>
      <c r="C979" s="16" t="s">
        <v>1679</v>
      </c>
      <c r="D979" s="19"/>
      <c r="E979" s="19"/>
      <c r="F979" s="203" t="str">
        <f t="shared" si="15"/>
        <v/>
      </c>
    </row>
    <row r="980" spans="1:6" ht="14.1" customHeight="1">
      <c r="A980" s="14">
        <f t="shared" si="16"/>
        <v>976</v>
      </c>
      <c r="B980" s="18"/>
      <c r="C980" s="16" t="s">
        <v>1679</v>
      </c>
      <c r="D980" s="19"/>
      <c r="E980" s="19"/>
      <c r="F980" s="203" t="str">
        <f t="shared" si="15"/>
        <v/>
      </c>
    </row>
    <row r="981" spans="1:6" ht="14.1" customHeight="1">
      <c r="A981" s="14">
        <f t="shared" si="16"/>
        <v>977</v>
      </c>
      <c r="B981" s="18"/>
      <c r="C981" s="16" t="s">
        <v>1679</v>
      </c>
      <c r="D981" s="19"/>
      <c r="E981" s="19"/>
      <c r="F981" s="203" t="str">
        <f t="shared" si="15"/>
        <v/>
      </c>
    </row>
    <row r="982" spans="1:6" ht="14.1" customHeight="1">
      <c r="A982" s="14">
        <f t="shared" si="16"/>
        <v>978</v>
      </c>
      <c r="B982" s="18"/>
      <c r="C982" s="16" t="s">
        <v>1679</v>
      </c>
      <c r="D982" s="19"/>
      <c r="E982" s="19"/>
      <c r="F982" s="203" t="str">
        <f t="shared" si="15"/>
        <v/>
      </c>
    </row>
    <row r="983" spans="1:6" ht="14.1" customHeight="1">
      <c r="A983" s="14">
        <f t="shared" si="16"/>
        <v>979</v>
      </c>
      <c r="B983" s="18"/>
      <c r="C983" s="16" t="s">
        <v>1679</v>
      </c>
      <c r="D983" s="19"/>
      <c r="E983" s="19"/>
      <c r="F983" s="203" t="str">
        <f t="shared" si="15"/>
        <v/>
      </c>
    </row>
    <row r="984" spans="1:6" ht="14.1" customHeight="1">
      <c r="A984" s="14">
        <f t="shared" si="16"/>
        <v>980</v>
      </c>
      <c r="B984" s="18"/>
      <c r="C984" s="16" t="s">
        <v>1679</v>
      </c>
      <c r="D984" s="19"/>
      <c r="E984" s="19"/>
      <c r="F984" s="203" t="str">
        <f t="shared" si="15"/>
        <v/>
      </c>
    </row>
    <row r="985" spans="1:6" ht="14.1" customHeight="1">
      <c r="A985" s="14">
        <f t="shared" si="16"/>
        <v>981</v>
      </c>
      <c r="B985" s="18"/>
      <c r="C985" s="16" t="s">
        <v>1679</v>
      </c>
      <c r="D985" s="19"/>
      <c r="E985" s="19"/>
      <c r="F985" s="203" t="str">
        <f t="shared" si="15"/>
        <v/>
      </c>
    </row>
    <row r="986" spans="1:6" ht="14.1" customHeight="1">
      <c r="A986" s="14">
        <f t="shared" si="16"/>
        <v>982</v>
      </c>
      <c r="B986" s="18"/>
      <c r="C986" s="16" t="s">
        <v>1679</v>
      </c>
      <c r="D986" s="19"/>
      <c r="E986" s="19"/>
      <c r="F986" s="203" t="str">
        <f t="shared" si="15"/>
        <v/>
      </c>
    </row>
    <row r="987" spans="1:6" ht="14.1" customHeight="1">
      <c r="A987" s="14">
        <f t="shared" si="16"/>
        <v>983</v>
      </c>
      <c r="B987" s="18"/>
      <c r="C987" s="16" t="s">
        <v>1679</v>
      </c>
      <c r="D987" s="19"/>
      <c r="E987" s="19"/>
      <c r="F987" s="203" t="str">
        <f t="shared" si="15"/>
        <v/>
      </c>
    </row>
    <row r="988" spans="1:6" ht="14.1" customHeight="1">
      <c r="A988" s="14">
        <f t="shared" si="16"/>
        <v>984</v>
      </c>
      <c r="B988" s="18"/>
      <c r="C988" s="16" t="s">
        <v>1679</v>
      </c>
      <c r="D988" s="19"/>
      <c r="E988" s="19"/>
      <c r="F988" s="203" t="str">
        <f t="shared" si="15"/>
        <v/>
      </c>
    </row>
    <row r="989" spans="1:6" ht="14.1" customHeight="1">
      <c r="A989" s="14">
        <f t="shared" si="16"/>
        <v>985</v>
      </c>
      <c r="B989" s="18"/>
      <c r="C989" s="16" t="s">
        <v>1679</v>
      </c>
      <c r="D989" s="19"/>
      <c r="E989" s="19"/>
      <c r="F989" s="203" t="str">
        <f t="shared" si="15"/>
        <v/>
      </c>
    </row>
  </sheetData>
  <sheetProtection algorithmName="SHA-512" hashValue="toqv59p9f/y4Fx0ka1xCqcIzt8grXSLd/tPkIi8C9GZYHlATsIWaSoC4uEInSdvCL0/Kg5ONqdaC5e7KhZylug==" saltValue="9giejzf5PP0s/BhRdQkm0w==" spinCount="100000" sheet="1" objects="1" scenarios="1" insertHyperlinks="0" selectLockedCells="1" pivotTables="0"/>
  <customSheetViews>
    <customSheetView guid="{3A20BFFC-9D9E-415D-AC5D-1CC81DA9B04C}">
      <pane ySplit="1" topLeftCell="A806" activePane="bottomLeft" state="frozen"/>
      <selection pane="bottomLeft" activeCell="A2" sqref="A2"/>
      <pageMargins left="0.75" right="0.75" top="1" bottom="1" header="0.5" footer="0.5"/>
      <pageSetup orientation="portrait" r:id="rId1"/>
      <headerFooter alignWithMargins="0"/>
    </customSheetView>
  </customSheetViews>
  <phoneticPr fontId="0" type="noConversion"/>
  <conditionalFormatting sqref="D26:E338 D11:E12 D15:E22 D341:E418 E339:E340 E419:E430 D438:E954">
    <cfRule type="cellIs" dxfId="23" priority="30" operator="equal">
      <formula>0.56</formula>
    </cfRule>
  </conditionalFormatting>
  <conditionalFormatting sqref="D13:E13">
    <cfRule type="cellIs" dxfId="22" priority="28" operator="equal">
      <formula>0.56</formula>
    </cfRule>
  </conditionalFormatting>
  <conditionalFormatting sqref="D14:E14">
    <cfRule type="cellIs" dxfId="21" priority="27" operator="equal">
      <formula>0.56</formula>
    </cfRule>
  </conditionalFormatting>
  <conditionalFormatting sqref="D7:E7 E8">
    <cfRule type="cellIs" dxfId="20" priority="24" operator="equal">
      <formula>0.56</formula>
    </cfRule>
  </conditionalFormatting>
  <conditionalFormatting sqref="D9:E9 E10">
    <cfRule type="cellIs" dxfId="19" priority="23" operator="equal">
      <formula>0.56</formula>
    </cfRule>
  </conditionalFormatting>
  <conditionalFormatting sqref="D419:D429">
    <cfRule type="cellIs" dxfId="18" priority="22" operator="equal">
      <formula>0.56</formula>
    </cfRule>
  </conditionalFormatting>
  <conditionalFormatting sqref="D430">
    <cfRule type="cellIs" dxfId="17" priority="19" operator="equal">
      <formula>0.56</formula>
    </cfRule>
  </conditionalFormatting>
  <conditionalFormatting sqref="D431">
    <cfRule type="cellIs" dxfId="16" priority="18" operator="equal">
      <formula>0.56</formula>
    </cfRule>
  </conditionalFormatting>
  <conditionalFormatting sqref="D432">
    <cfRule type="cellIs" dxfId="15" priority="16" operator="equal">
      <formula>0.56</formula>
    </cfRule>
  </conditionalFormatting>
  <conditionalFormatting sqref="D433">
    <cfRule type="cellIs" dxfId="14" priority="15" operator="equal">
      <formula>0.56</formula>
    </cfRule>
  </conditionalFormatting>
  <conditionalFormatting sqref="D339:D340">
    <cfRule type="cellIs" dxfId="13" priority="7" operator="equal">
      <formula>0.56</formula>
    </cfRule>
  </conditionalFormatting>
  <conditionalFormatting sqref="D437">
    <cfRule type="cellIs" dxfId="12" priority="8" operator="equal">
      <formula>0.56</formula>
    </cfRule>
  </conditionalFormatting>
  <conditionalFormatting sqref="E431:E437">
    <cfRule type="cellIs" dxfId="11" priority="6" operator="equal">
      <formula>0.56</formula>
    </cfRule>
  </conditionalFormatting>
  <conditionalFormatting sqref="D436">
    <cfRule type="cellIs" dxfId="10" priority="5" operator="equal">
      <formula>0.56</formula>
    </cfRule>
  </conditionalFormatting>
  <conditionalFormatting sqref="D434">
    <cfRule type="cellIs" dxfId="9" priority="4" operator="equal">
      <formula>0.56</formula>
    </cfRule>
  </conditionalFormatting>
  <conditionalFormatting sqref="D435">
    <cfRule type="cellIs" dxfId="8" priority="3" operator="equal">
      <formula>0.56</formula>
    </cfRule>
  </conditionalFormatting>
  <conditionalFormatting sqref="D8">
    <cfRule type="cellIs" dxfId="7" priority="2" operator="equal">
      <formula>0.56</formula>
    </cfRule>
  </conditionalFormatting>
  <conditionalFormatting sqref="D10">
    <cfRule type="cellIs" dxfId="6" priority="1" operator="equal">
      <formula>0.56</formula>
    </cfRule>
  </conditionalFormatting>
  <hyperlinks>
    <hyperlink ref="F1" location="'Terms of Use'!A1" display="(C) 2017" xr:uid="{00000000-0004-0000-0A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3313" r:id="rId5" name="Button 1">
              <controlPr defaultSize="0" print="0" autoFill="0" autoPict="0" macro="[0]!Go_to_TopOfAboveGradeWallsInput">
                <anchor moveWithCells="1">
                  <from>
                    <xdr:col>2</xdr:col>
                    <xdr:colOff>561975</xdr:colOff>
                    <xdr:row>933</xdr:row>
                    <xdr:rowOff>9525</xdr:rowOff>
                  </from>
                  <to>
                    <xdr:col>4</xdr:col>
                    <xdr:colOff>333375</xdr:colOff>
                    <xdr:row>933</xdr:row>
                    <xdr:rowOff>295275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loors">
    <tabColor theme="0"/>
  </sheetPr>
  <dimension ref="A1:X117"/>
  <sheetViews>
    <sheetView zoomScaleNormal="100" workbookViewId="0">
      <pane ySplit="3" topLeftCell="A4" activePane="bottomLeft" state="frozen"/>
      <selection activeCell="D18" sqref="D18"/>
      <selection pane="bottomLeft" activeCell="B78" sqref="B78"/>
    </sheetView>
  </sheetViews>
  <sheetFormatPr defaultColWidth="8.7109375" defaultRowHeight="14.1" customHeight="1"/>
  <cols>
    <col min="1" max="1" width="8.7109375" style="14" customWidth="1"/>
    <col min="2" max="2" width="55.85546875" style="15" customWidth="1"/>
    <col min="3" max="3" width="11.5703125" style="16" customWidth="1"/>
    <col min="4" max="4" width="8.7109375" style="16" customWidth="1"/>
    <col min="5" max="5" width="20.7109375" style="16" customWidth="1"/>
    <col min="6" max="6" width="8.7109375" style="17" customWidth="1"/>
    <col min="7" max="16384" width="8.7109375" style="15"/>
  </cols>
  <sheetData>
    <row r="1" spans="1:24" ht="17.25"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row>
    <row r="2" spans="1:24" ht="21.75" customHeight="1">
      <c r="A2" s="549" t="s">
        <v>2466</v>
      </c>
      <c r="B2" s="550"/>
      <c r="C2" s="551"/>
      <c r="D2" s="552"/>
      <c r="E2" s="552"/>
      <c r="F2" s="550"/>
      <c r="G2" s="550"/>
      <c r="H2" s="550"/>
      <c r="I2" s="550"/>
      <c r="J2" s="553"/>
      <c r="K2" s="550"/>
      <c r="L2" s="550"/>
      <c r="M2" s="550"/>
      <c r="N2" s="550"/>
      <c r="O2" s="550"/>
      <c r="P2" s="550"/>
      <c r="Q2" s="550"/>
      <c r="R2" s="550"/>
      <c r="S2" s="550"/>
      <c r="T2" s="550"/>
      <c r="U2" s="550"/>
      <c r="V2" s="550"/>
      <c r="W2" s="550"/>
      <c r="X2" s="550"/>
    </row>
    <row r="3" spans="1:24" ht="14.1" customHeight="1">
      <c r="A3" s="14" t="s">
        <v>1400</v>
      </c>
      <c r="B3" s="15" t="s">
        <v>1401</v>
      </c>
      <c r="C3" s="16" t="s">
        <v>1402</v>
      </c>
      <c r="D3" s="17" t="s">
        <v>27</v>
      </c>
      <c r="E3" s="17"/>
    </row>
    <row r="5" spans="1:24" ht="14.1" customHeight="1">
      <c r="A5" s="14">
        <v>1</v>
      </c>
    </row>
    <row r="6" spans="1:24" ht="14.1" customHeight="1">
      <c r="A6" s="14">
        <f>A5+1</f>
        <v>2</v>
      </c>
      <c r="B6" s="101" t="s">
        <v>2063</v>
      </c>
      <c r="C6" s="15"/>
      <c r="D6" s="15"/>
      <c r="E6" s="15"/>
    </row>
    <row r="7" spans="1:24" ht="14.1" customHeight="1">
      <c r="A7" s="14">
        <f t="shared" ref="A7:A75" si="0">A6+1</f>
        <v>3</v>
      </c>
      <c r="B7" s="77" t="s">
        <v>3108</v>
      </c>
      <c r="C7" s="16" t="s">
        <v>28</v>
      </c>
      <c r="D7" s="16">
        <v>0.13400000000000001</v>
      </c>
    </row>
    <row r="8" spans="1:24" ht="14.1" customHeight="1">
      <c r="A8" s="14">
        <f t="shared" si="0"/>
        <v>4</v>
      </c>
      <c r="B8" s="77" t="s">
        <v>3107</v>
      </c>
      <c r="C8" s="16" t="s">
        <v>28</v>
      </c>
      <c r="D8" s="16">
        <v>4.1000000000000002E-2</v>
      </c>
    </row>
    <row r="9" spans="1:24" ht="14.1" customHeight="1">
      <c r="A9" s="14">
        <f t="shared" si="0"/>
        <v>5</v>
      </c>
      <c r="B9" s="77" t="s">
        <v>3105</v>
      </c>
      <c r="C9" s="16" t="s">
        <v>28</v>
      </c>
      <c r="D9" s="16">
        <v>2.9000000000000001E-2</v>
      </c>
    </row>
    <row r="10" spans="1:24" ht="14.1" customHeight="1">
      <c r="A10" s="14">
        <f t="shared" si="0"/>
        <v>6</v>
      </c>
      <c r="B10" s="77" t="s">
        <v>3106</v>
      </c>
      <c r="C10" s="16" t="s">
        <v>28</v>
      </c>
      <c r="D10" s="16">
        <v>2.8000000000000001E-2</v>
      </c>
    </row>
    <row r="11" spans="1:24" ht="14.1" customHeight="1">
      <c r="A11" s="14">
        <f t="shared" si="0"/>
        <v>7</v>
      </c>
      <c r="B11" s="77" t="s">
        <v>3101</v>
      </c>
      <c r="C11" s="16" t="s">
        <v>28</v>
      </c>
      <c r="D11" s="16">
        <v>2.5000000000000001E-2</v>
      </c>
    </row>
    <row r="12" spans="1:24" ht="14.1" customHeight="1">
      <c r="A12" s="14">
        <f t="shared" si="0"/>
        <v>8</v>
      </c>
      <c r="B12" s="77" t="s">
        <v>3102</v>
      </c>
      <c r="C12" s="16" t="s">
        <v>28</v>
      </c>
      <c r="D12" s="16">
        <v>2.4E-2</v>
      </c>
    </row>
    <row r="13" spans="1:24" ht="14.1" customHeight="1">
      <c r="A13" s="14">
        <f t="shared" si="0"/>
        <v>9</v>
      </c>
      <c r="B13" s="77" t="s">
        <v>3103</v>
      </c>
      <c r="D13" s="16">
        <v>0.02</v>
      </c>
      <c r="E13" s="162" t="s">
        <v>2582</v>
      </c>
    </row>
    <row r="14" spans="1:24" ht="14.1" customHeight="1">
      <c r="A14" s="14">
        <f t="shared" si="0"/>
        <v>10</v>
      </c>
      <c r="B14" s="77" t="s">
        <v>3104</v>
      </c>
      <c r="D14" s="16">
        <v>0.02</v>
      </c>
      <c r="E14" s="162" t="s">
        <v>2582</v>
      </c>
    </row>
    <row r="15" spans="1:24" ht="14.1" customHeight="1">
      <c r="A15" s="14">
        <f t="shared" si="0"/>
        <v>11</v>
      </c>
      <c r="B15" s="77" t="s">
        <v>2768</v>
      </c>
      <c r="C15" s="151" t="s">
        <v>2261</v>
      </c>
      <c r="D15" s="16">
        <v>0</v>
      </c>
      <c r="E15" s="162"/>
    </row>
    <row r="16" spans="1:24" ht="14.1" customHeight="1">
      <c r="A16" s="14">
        <f t="shared" si="0"/>
        <v>12</v>
      </c>
      <c r="B16" s="15" t="s">
        <v>3167</v>
      </c>
      <c r="C16" s="152" t="s">
        <v>3168</v>
      </c>
      <c r="D16" s="16">
        <v>2.9000000000000001E-2</v>
      </c>
      <c r="E16" s="162"/>
    </row>
    <row r="17" spans="1:4" ht="14.1" customHeight="1">
      <c r="A17" s="14">
        <f t="shared" si="0"/>
        <v>13</v>
      </c>
      <c r="B17" s="101" t="s">
        <v>2110</v>
      </c>
    </row>
    <row r="18" spans="1:4" ht="14.1" customHeight="1">
      <c r="A18" s="14">
        <f t="shared" si="0"/>
        <v>14</v>
      </c>
      <c r="B18" s="77" t="s">
        <v>3108</v>
      </c>
      <c r="C18" s="16" t="s">
        <v>28</v>
      </c>
      <c r="D18" s="16">
        <v>0.13400000000000001</v>
      </c>
    </row>
    <row r="19" spans="1:4" ht="14.1" customHeight="1">
      <c r="A19" s="14">
        <f t="shared" si="0"/>
        <v>15</v>
      </c>
      <c r="B19" s="77" t="s">
        <v>3109</v>
      </c>
      <c r="C19" s="16" t="s">
        <v>28</v>
      </c>
      <c r="D19" s="16">
        <v>0.112</v>
      </c>
    </row>
    <row r="20" spans="1:4" ht="14.1" customHeight="1">
      <c r="A20" s="14">
        <f t="shared" si="0"/>
        <v>16</v>
      </c>
      <c r="B20" s="77" t="s">
        <v>3110</v>
      </c>
      <c r="C20" s="16" t="s">
        <v>28</v>
      </c>
      <c r="D20" s="16">
        <v>5.6000000000000001E-2</v>
      </c>
    </row>
    <row r="21" spans="1:4" ht="14.1" customHeight="1">
      <c r="A21" s="14">
        <f t="shared" si="0"/>
        <v>17</v>
      </c>
      <c r="B21" s="77" t="s">
        <v>3111</v>
      </c>
      <c r="C21" s="16" t="s">
        <v>28</v>
      </c>
      <c r="D21" s="16">
        <v>5.1999999999999998E-2</v>
      </c>
    </row>
    <row r="22" spans="1:4" ht="14.1" customHeight="1">
      <c r="A22" s="14">
        <f t="shared" si="0"/>
        <v>18</v>
      </c>
      <c r="B22" s="77" t="s">
        <v>3107</v>
      </c>
      <c r="C22" s="16" t="s">
        <v>28</v>
      </c>
      <c r="D22" s="16">
        <v>4.1000000000000002E-2</v>
      </c>
    </row>
    <row r="23" spans="1:4" ht="14.1" customHeight="1">
      <c r="A23" s="14">
        <f t="shared" si="0"/>
        <v>19</v>
      </c>
      <c r="B23" s="77" t="s">
        <v>3112</v>
      </c>
      <c r="C23" s="16" t="s">
        <v>28</v>
      </c>
      <c r="D23" s="16">
        <v>3.7999999999999999E-2</v>
      </c>
    </row>
    <row r="24" spans="1:4" ht="14.1" customHeight="1">
      <c r="A24" s="14">
        <f t="shared" si="0"/>
        <v>20</v>
      </c>
      <c r="B24" s="77" t="s">
        <v>3113</v>
      </c>
      <c r="C24" s="16" t="s">
        <v>28</v>
      </c>
      <c r="D24" s="16">
        <v>3.6999999999999998E-2</v>
      </c>
    </row>
    <row r="25" spans="1:4" ht="14.1" customHeight="1">
      <c r="A25" s="14">
        <f t="shared" si="0"/>
        <v>21</v>
      </c>
      <c r="B25" s="77" t="s">
        <v>3114</v>
      </c>
      <c r="C25" s="16" t="s">
        <v>28</v>
      </c>
      <c r="D25" s="16">
        <v>3.4000000000000002E-2</v>
      </c>
    </row>
    <row r="26" spans="1:4" ht="14.1" customHeight="1">
      <c r="A26" s="14">
        <f t="shared" si="0"/>
        <v>22</v>
      </c>
      <c r="B26" s="77" t="s">
        <v>3115</v>
      </c>
      <c r="C26" s="16" t="s">
        <v>28</v>
      </c>
      <c r="D26" s="16">
        <v>3.4000000000000002E-2</v>
      </c>
    </row>
    <row r="27" spans="1:4" ht="14.1" customHeight="1">
      <c r="A27" s="14">
        <f t="shared" si="0"/>
        <v>23</v>
      </c>
      <c r="B27" s="77" t="s">
        <v>3116</v>
      </c>
      <c r="C27" s="16" t="s">
        <v>28</v>
      </c>
      <c r="D27" s="16">
        <v>3.2000000000000001E-2</v>
      </c>
    </row>
    <row r="28" spans="1:4" ht="14.1" customHeight="1">
      <c r="A28" s="14">
        <f t="shared" si="0"/>
        <v>24</v>
      </c>
      <c r="B28" s="77" t="s">
        <v>3117</v>
      </c>
      <c r="C28" s="16" t="s">
        <v>28</v>
      </c>
      <c r="D28" s="16">
        <v>2.9000000000000001E-2</v>
      </c>
    </row>
    <row r="29" spans="1:4" ht="14.1" customHeight="1">
      <c r="A29" s="14">
        <f t="shared" si="0"/>
        <v>25</v>
      </c>
      <c r="B29" s="77" t="s">
        <v>3118</v>
      </c>
      <c r="C29" s="16" t="s">
        <v>28</v>
      </c>
      <c r="D29" s="16">
        <v>2.8000000000000001E-2</v>
      </c>
    </row>
    <row r="30" spans="1:4" ht="14.1" customHeight="1">
      <c r="A30" s="14">
        <f t="shared" si="0"/>
        <v>26</v>
      </c>
      <c r="B30" s="77" t="s">
        <v>3119</v>
      </c>
      <c r="C30" s="16" t="s">
        <v>28</v>
      </c>
      <c r="D30" s="16">
        <v>2.5000000000000001E-2</v>
      </c>
    </row>
    <row r="31" spans="1:4" ht="14.1" customHeight="1">
      <c r="A31" s="14">
        <f t="shared" si="0"/>
        <v>27</v>
      </c>
      <c r="B31" s="77" t="s">
        <v>3120</v>
      </c>
      <c r="C31" s="16" t="s">
        <v>28</v>
      </c>
      <c r="D31" s="16">
        <v>2.4E-2</v>
      </c>
    </row>
    <row r="32" spans="1:4" ht="14.1" customHeight="1">
      <c r="A32" s="14">
        <f t="shared" si="0"/>
        <v>28</v>
      </c>
      <c r="B32" s="77" t="s">
        <v>3121</v>
      </c>
      <c r="C32" s="16" t="s">
        <v>28</v>
      </c>
      <c r="D32" s="16">
        <v>0.11600000000000001</v>
      </c>
    </row>
    <row r="33" spans="1:4" ht="14.1" customHeight="1">
      <c r="A33" s="14">
        <f t="shared" si="0"/>
        <v>29</v>
      </c>
      <c r="B33" s="77" t="s">
        <v>3122</v>
      </c>
      <c r="C33" s="16" t="s">
        <v>28</v>
      </c>
      <c r="D33" s="16">
        <v>0.1</v>
      </c>
    </row>
    <row r="34" spans="1:4" ht="14.1" customHeight="1">
      <c r="A34" s="14">
        <f t="shared" si="0"/>
        <v>30</v>
      </c>
      <c r="B34" s="77" t="s">
        <v>3123</v>
      </c>
      <c r="C34" s="16" t="s">
        <v>28</v>
      </c>
      <c r="D34" s="16">
        <v>0.114</v>
      </c>
    </row>
    <row r="35" spans="1:4" ht="14.1" customHeight="1">
      <c r="A35" s="14">
        <f t="shared" si="0"/>
        <v>31</v>
      </c>
      <c r="B35" s="77" t="s">
        <v>3124</v>
      </c>
      <c r="C35" s="16" t="s">
        <v>28</v>
      </c>
      <c r="D35" s="16">
        <v>9.8000000000000004E-2</v>
      </c>
    </row>
    <row r="36" spans="1:4" ht="14.1" customHeight="1">
      <c r="A36" s="14">
        <f t="shared" si="0"/>
        <v>32</v>
      </c>
      <c r="B36" s="77" t="s">
        <v>3125</v>
      </c>
      <c r="C36" s="16" t="s">
        <v>28</v>
      </c>
      <c r="D36" s="16">
        <v>0.107</v>
      </c>
    </row>
    <row r="37" spans="1:4" ht="14.1" customHeight="1">
      <c r="A37" s="14">
        <f t="shared" si="0"/>
        <v>33</v>
      </c>
      <c r="B37" s="77" t="s">
        <v>3126</v>
      </c>
      <c r="C37" s="16" t="s">
        <v>28</v>
      </c>
      <c r="D37" s="16">
        <v>9.2999999999999999E-2</v>
      </c>
    </row>
    <row r="38" spans="1:4" ht="14.1" customHeight="1">
      <c r="A38" s="14">
        <f t="shared" si="0"/>
        <v>34</v>
      </c>
      <c r="B38" s="77" t="s">
        <v>3127</v>
      </c>
      <c r="C38" s="16" t="s">
        <v>28</v>
      </c>
      <c r="D38" s="16">
        <v>5.1999999999999998E-2</v>
      </c>
    </row>
    <row r="39" spans="1:4" ht="14.1" customHeight="1">
      <c r="A39" s="14">
        <f t="shared" si="0"/>
        <v>35</v>
      </c>
      <c r="B39" s="77" t="s">
        <v>3128</v>
      </c>
      <c r="C39" s="16" t="s">
        <v>28</v>
      </c>
      <c r="D39" s="16">
        <v>4.8000000000000001E-2</v>
      </c>
    </row>
    <row r="40" spans="1:4" ht="14.1" customHeight="1">
      <c r="A40" s="14">
        <f t="shared" si="0"/>
        <v>36</v>
      </c>
      <c r="B40" s="77" t="s">
        <v>3129</v>
      </c>
      <c r="C40" s="16" t="s">
        <v>28</v>
      </c>
      <c r="D40" s="16">
        <v>3.7999999999999999E-2</v>
      </c>
    </row>
    <row r="41" spans="1:4" ht="14.1" customHeight="1">
      <c r="A41" s="14">
        <f t="shared" si="0"/>
        <v>37</v>
      </c>
      <c r="B41" s="77" t="s">
        <v>3130</v>
      </c>
      <c r="C41" s="16" t="s">
        <v>28</v>
      </c>
      <c r="D41" s="16">
        <v>3.5999999999999997E-2</v>
      </c>
    </row>
    <row r="42" spans="1:4" ht="14.1" customHeight="1">
      <c r="A42" s="14">
        <f t="shared" si="0"/>
        <v>38</v>
      </c>
      <c r="B42" s="77" t="s">
        <v>3131</v>
      </c>
      <c r="C42" s="16" t="s">
        <v>28</v>
      </c>
      <c r="D42" s="16">
        <v>3.5000000000000003E-2</v>
      </c>
    </row>
    <row r="43" spans="1:4" ht="14.1" customHeight="1">
      <c r="A43" s="14">
        <f t="shared" si="0"/>
        <v>39</v>
      </c>
      <c r="B43" s="77" t="s">
        <v>3132</v>
      </c>
      <c r="C43" s="16" t="s">
        <v>28</v>
      </c>
      <c r="D43" s="16">
        <v>3.3000000000000002E-2</v>
      </c>
    </row>
    <row r="44" spans="1:4" ht="14.1" customHeight="1">
      <c r="A44" s="14">
        <f t="shared" si="0"/>
        <v>40</v>
      </c>
      <c r="B44" s="77" t="s">
        <v>3133</v>
      </c>
      <c r="C44" s="16" t="s">
        <v>28</v>
      </c>
      <c r="D44" s="16">
        <v>3.3000000000000002E-2</v>
      </c>
    </row>
    <row r="45" spans="1:4" ht="14.1" customHeight="1">
      <c r="A45" s="14">
        <f t="shared" si="0"/>
        <v>41</v>
      </c>
      <c r="B45" s="77" t="s">
        <v>3134</v>
      </c>
      <c r="C45" s="16" t="s">
        <v>28</v>
      </c>
      <c r="D45" s="16">
        <v>3.1E-2</v>
      </c>
    </row>
    <row r="46" spans="1:4" ht="14.1" customHeight="1">
      <c r="A46" s="14">
        <f t="shared" si="0"/>
        <v>42</v>
      </c>
      <c r="B46" s="77" t="s">
        <v>3135</v>
      </c>
      <c r="C46" s="16" t="s">
        <v>28</v>
      </c>
      <c r="D46" s="16">
        <v>2.8000000000000001E-2</v>
      </c>
    </row>
    <row r="47" spans="1:4" ht="14.1" customHeight="1">
      <c r="A47" s="14">
        <f t="shared" si="0"/>
        <v>43</v>
      </c>
      <c r="B47" s="77" t="s">
        <v>3136</v>
      </c>
      <c r="C47" s="16" t="s">
        <v>28</v>
      </c>
      <c r="D47" s="16">
        <v>2.7E-2</v>
      </c>
    </row>
    <row r="48" spans="1:4" ht="14.1" customHeight="1">
      <c r="A48" s="14">
        <f t="shared" si="0"/>
        <v>44</v>
      </c>
      <c r="B48" s="77" t="s">
        <v>3137</v>
      </c>
      <c r="C48" s="16" t="s">
        <v>28</v>
      </c>
      <c r="D48" s="16">
        <v>2.4E-2</v>
      </c>
    </row>
    <row r="49" spans="1:4" ht="14.1" customHeight="1">
      <c r="A49" s="14">
        <f t="shared" si="0"/>
        <v>45</v>
      </c>
      <c r="B49" s="77" t="s">
        <v>3138</v>
      </c>
      <c r="C49" s="16" t="s">
        <v>28</v>
      </c>
      <c r="D49" s="16">
        <v>2.4E-2</v>
      </c>
    </row>
    <row r="50" spans="1:4" ht="14.1" customHeight="1">
      <c r="A50" s="14">
        <f t="shared" si="0"/>
        <v>46</v>
      </c>
      <c r="B50" s="77" t="s">
        <v>29</v>
      </c>
      <c r="C50" s="16" t="s">
        <v>30</v>
      </c>
      <c r="D50" s="16">
        <v>8.5000000000000006E-2</v>
      </c>
    </row>
    <row r="51" spans="1:4" ht="14.1" customHeight="1">
      <c r="A51" s="14">
        <f t="shared" si="0"/>
        <v>47</v>
      </c>
      <c r="B51" s="15" t="s">
        <v>31</v>
      </c>
      <c r="C51" s="16" t="s">
        <v>30</v>
      </c>
      <c r="D51" s="16">
        <v>7.4999999999999997E-2</v>
      </c>
    </row>
    <row r="52" spans="1:4" ht="14.1" customHeight="1">
      <c r="A52" s="14">
        <f t="shared" si="0"/>
        <v>48</v>
      </c>
      <c r="B52" s="15" t="s">
        <v>32</v>
      </c>
      <c r="C52" s="16" t="s">
        <v>30</v>
      </c>
      <c r="D52" s="16">
        <v>6.9000000000000006E-2</v>
      </c>
    </row>
    <row r="53" spans="1:4" ht="14.1" customHeight="1">
      <c r="A53" s="14">
        <f t="shared" si="0"/>
        <v>49</v>
      </c>
      <c r="B53" s="15" t="s">
        <v>33</v>
      </c>
      <c r="C53" s="16" t="s">
        <v>1577</v>
      </c>
      <c r="D53" s="16">
        <v>3.4000000000000002E-2</v>
      </c>
    </row>
    <row r="54" spans="1:4" ht="14.1" customHeight="1">
      <c r="A54" s="14">
        <f t="shared" si="0"/>
        <v>50</v>
      </c>
      <c r="B54" s="15" t="s">
        <v>34</v>
      </c>
      <c r="C54" s="16" t="s">
        <v>1577</v>
      </c>
      <c r="D54" s="16">
        <v>2.8000000000000001E-2</v>
      </c>
    </row>
    <row r="55" spans="1:4" ht="14.1" customHeight="1">
      <c r="A55" s="14">
        <f t="shared" si="0"/>
        <v>51</v>
      </c>
      <c r="B55" s="15" t="s">
        <v>35</v>
      </c>
      <c r="C55" s="16" t="s">
        <v>1577</v>
      </c>
      <c r="D55" s="16">
        <v>2.4E-2</v>
      </c>
    </row>
    <row r="56" spans="1:4" ht="14.1" customHeight="1">
      <c r="A56" s="14">
        <f t="shared" si="0"/>
        <v>52</v>
      </c>
      <c r="B56" s="15" t="s">
        <v>36</v>
      </c>
      <c r="C56" s="16" t="s">
        <v>37</v>
      </c>
      <c r="D56" s="16">
        <v>7.6999999999999999E-2</v>
      </c>
    </row>
    <row r="57" spans="1:4" ht="14.1" customHeight="1">
      <c r="A57" s="14">
        <f t="shared" si="0"/>
        <v>53</v>
      </c>
      <c r="B57" s="15" t="s">
        <v>38</v>
      </c>
      <c r="C57" s="16" t="s">
        <v>37</v>
      </c>
      <c r="D57" s="16">
        <v>5.8999999999999997E-2</v>
      </c>
    </row>
    <row r="58" spans="1:4" ht="14.1" customHeight="1">
      <c r="A58" s="14">
        <f t="shared" si="0"/>
        <v>54</v>
      </c>
      <c r="B58" s="15" t="s">
        <v>39</v>
      </c>
      <c r="C58" s="16" t="s">
        <v>37</v>
      </c>
      <c r="D58" s="16">
        <v>4.8000000000000001E-2</v>
      </c>
    </row>
    <row r="59" spans="1:4" ht="14.1" customHeight="1">
      <c r="A59" s="14">
        <f t="shared" si="0"/>
        <v>55</v>
      </c>
      <c r="B59" s="15" t="s">
        <v>40</v>
      </c>
      <c r="C59" s="16" t="s">
        <v>37</v>
      </c>
      <c r="D59" s="16">
        <v>4.2999999999999997E-2</v>
      </c>
    </row>
    <row r="60" spans="1:4" ht="14.1" customHeight="1">
      <c r="A60" s="14">
        <f t="shared" si="0"/>
        <v>56</v>
      </c>
      <c r="B60" s="15" t="s">
        <v>41</v>
      </c>
      <c r="C60" s="16" t="s">
        <v>37</v>
      </c>
      <c r="D60" s="16">
        <v>3.6999999999999998E-2</v>
      </c>
    </row>
    <row r="61" spans="1:4" ht="14.1" customHeight="1">
      <c r="A61" s="14">
        <f t="shared" si="0"/>
        <v>57</v>
      </c>
      <c r="B61" s="15" t="s">
        <v>42</v>
      </c>
      <c r="C61" s="16" t="s">
        <v>37</v>
      </c>
      <c r="D61" s="16">
        <v>3.1E-2</v>
      </c>
    </row>
    <row r="62" spans="1:4" ht="14.1" customHeight="1">
      <c r="A62" s="14">
        <f t="shared" si="0"/>
        <v>58</v>
      </c>
      <c r="B62" s="15" t="s">
        <v>43</v>
      </c>
      <c r="C62" s="16" t="s">
        <v>37</v>
      </c>
      <c r="D62" s="16">
        <v>2.5000000000000001E-2</v>
      </c>
    </row>
    <row r="63" spans="1:4" ht="14.1" customHeight="1">
      <c r="A63" s="14">
        <f t="shared" si="0"/>
        <v>59</v>
      </c>
      <c r="B63" s="15" t="s">
        <v>44</v>
      </c>
      <c r="C63" s="16" t="s">
        <v>37</v>
      </c>
      <c r="D63" s="16">
        <v>8.7999999999999995E-2</v>
      </c>
    </row>
    <row r="64" spans="1:4" ht="14.1" customHeight="1">
      <c r="A64" s="14">
        <f t="shared" si="0"/>
        <v>60</v>
      </c>
      <c r="B64" s="15" t="s">
        <v>45</v>
      </c>
      <c r="C64" s="16" t="s">
        <v>37</v>
      </c>
      <c r="D64" s="16">
        <v>7.5999999999999998E-2</v>
      </c>
    </row>
    <row r="65" spans="1:6" ht="14.1" customHeight="1">
      <c r="A65" s="14">
        <f t="shared" si="0"/>
        <v>61</v>
      </c>
      <c r="B65" s="15" t="s">
        <v>46</v>
      </c>
      <c r="C65" s="16" t="s">
        <v>37</v>
      </c>
      <c r="D65" s="16">
        <v>6.2E-2</v>
      </c>
    </row>
    <row r="66" spans="1:6" ht="14.1" customHeight="1">
      <c r="A66" s="14">
        <f t="shared" si="0"/>
        <v>62</v>
      </c>
      <c r="B66" s="15" t="s">
        <v>47</v>
      </c>
      <c r="C66" s="16" t="s">
        <v>37</v>
      </c>
      <c r="D66" s="16">
        <v>5.7000000000000002E-2</v>
      </c>
    </row>
    <row r="67" spans="1:6" ht="14.1" customHeight="1">
      <c r="A67" s="14">
        <f t="shared" si="0"/>
        <v>63</v>
      </c>
      <c r="B67" s="15" t="s">
        <v>48</v>
      </c>
      <c r="C67" s="16" t="s">
        <v>37</v>
      </c>
      <c r="D67" s="16">
        <v>5.0999999999999997E-2</v>
      </c>
    </row>
    <row r="68" spans="1:6" ht="14.1" customHeight="1">
      <c r="A68" s="14">
        <f t="shared" si="0"/>
        <v>64</v>
      </c>
      <c r="B68" s="15" t="s">
        <v>49</v>
      </c>
      <c r="C68" s="16" t="s">
        <v>37</v>
      </c>
      <c r="D68" s="16">
        <v>0.04</v>
      </c>
    </row>
    <row r="69" spans="1:6" ht="14.1" customHeight="1">
      <c r="A69" s="14">
        <f t="shared" si="0"/>
        <v>65</v>
      </c>
      <c r="B69" s="15" t="s">
        <v>50</v>
      </c>
      <c r="C69" s="16" t="s">
        <v>37</v>
      </c>
      <c r="D69" s="16">
        <v>3.4000000000000002E-2</v>
      </c>
    </row>
    <row r="70" spans="1:6" ht="14.1" customHeight="1">
      <c r="A70" s="14">
        <f t="shared" si="0"/>
        <v>66</v>
      </c>
      <c r="B70" s="15" t="s">
        <v>51</v>
      </c>
      <c r="C70" s="16" t="s">
        <v>37</v>
      </c>
      <c r="D70" s="16">
        <v>0.14000000000000001</v>
      </c>
    </row>
    <row r="71" spans="1:6" ht="14.1" customHeight="1">
      <c r="A71" s="14">
        <f t="shared" si="0"/>
        <v>67</v>
      </c>
      <c r="B71" s="15" t="s">
        <v>52</v>
      </c>
      <c r="C71" s="16" t="s">
        <v>37</v>
      </c>
      <c r="D71" s="16">
        <v>0.12</v>
      </c>
    </row>
    <row r="72" spans="1:6" ht="14.1" customHeight="1">
      <c r="A72" s="14">
        <f t="shared" si="0"/>
        <v>68</v>
      </c>
      <c r="B72" s="15" t="s">
        <v>53</v>
      </c>
      <c r="C72" s="16" t="s">
        <v>37</v>
      </c>
      <c r="D72" s="16">
        <v>0.11</v>
      </c>
    </row>
    <row r="73" spans="1:6" ht="14.1" customHeight="1">
      <c r="A73" s="14">
        <f t="shared" si="0"/>
        <v>69</v>
      </c>
      <c r="B73" s="15" t="s">
        <v>54</v>
      </c>
      <c r="C73" s="16" t="s">
        <v>37</v>
      </c>
      <c r="D73" s="16">
        <v>0.11</v>
      </c>
    </row>
    <row r="74" spans="1:6" ht="14.1" customHeight="1">
      <c r="A74" s="14">
        <f t="shared" si="0"/>
        <v>70</v>
      </c>
      <c r="B74" s="15" t="s">
        <v>55</v>
      </c>
      <c r="C74" s="16" t="s">
        <v>37</v>
      </c>
      <c r="D74" s="16">
        <v>0.1</v>
      </c>
    </row>
    <row r="75" spans="1:6" ht="14.1" customHeight="1">
      <c r="A75" s="14">
        <f t="shared" si="0"/>
        <v>71</v>
      </c>
      <c r="B75" s="15" t="s">
        <v>56</v>
      </c>
      <c r="C75" s="16" t="s">
        <v>37</v>
      </c>
      <c r="D75" s="16">
        <v>0.09</v>
      </c>
    </row>
    <row r="76" spans="1:6" ht="14.1" customHeight="1">
      <c r="A76" s="14">
        <f t="shared" ref="A76:A83" si="1">A75+1</f>
        <v>72</v>
      </c>
      <c r="B76" s="15" t="s">
        <v>57</v>
      </c>
      <c r="C76" s="16" t="s">
        <v>37</v>
      </c>
      <c r="D76" s="16">
        <v>0.08</v>
      </c>
    </row>
    <row r="77" spans="1:6" ht="36.75" customHeight="1">
      <c r="A77" s="14">
        <f t="shared" si="1"/>
        <v>73</v>
      </c>
      <c r="B77" s="101" t="str">
        <f>'Flat-Vaulted Ceilings'!$B$339</f>
        <v xml:space="preserve">== Custom Entries per WSEC R402.1.5 U-factor Reference and Calculations ========  </v>
      </c>
      <c r="E77" s="439" t="s">
        <v>2353</v>
      </c>
      <c r="F77" s="1055" t="str">
        <f>'Flat-Vaulted Ceilings'!$F$339</f>
        <v>Your entries appear at bottom of drowdown menus on "Group R" tab</v>
      </c>
    </row>
    <row r="78" spans="1:6" ht="14.1" customHeight="1">
      <c r="A78" s="14">
        <f t="shared" si="1"/>
        <v>74</v>
      </c>
      <c r="B78" s="39" t="s">
        <v>3139</v>
      </c>
      <c r="C78" s="16" t="s">
        <v>1679</v>
      </c>
      <c r="D78" s="19">
        <v>0.02</v>
      </c>
      <c r="E78" s="19"/>
      <c r="F78" s="203" t="str">
        <f t="shared" ref="F78:F117" si="2">IF(AND(B79&lt;&gt;"",B78=""),"Don't skip lines",IF(AND(D78="",B78&lt;&gt;""),"Enter U-value",IF(AND(D78&lt;&gt;"",B78=""),"Enter Description","")))</f>
        <v/>
      </c>
    </row>
    <row r="79" spans="1:6" ht="14.1" customHeight="1">
      <c r="A79" s="14">
        <f t="shared" si="1"/>
        <v>75</v>
      </c>
      <c r="B79" s="39" t="s">
        <v>2837</v>
      </c>
      <c r="C79" s="16" t="s">
        <v>1679</v>
      </c>
      <c r="D79" s="19">
        <v>3.1699999999999999E-2</v>
      </c>
      <c r="E79" s="19"/>
      <c r="F79" s="203" t="str">
        <f t="shared" si="2"/>
        <v/>
      </c>
    </row>
    <row r="80" spans="1:6" ht="14.1" customHeight="1">
      <c r="A80" s="14">
        <f t="shared" si="1"/>
        <v>76</v>
      </c>
      <c r="B80" s="18"/>
      <c r="C80" s="16" t="s">
        <v>1679</v>
      </c>
      <c r="D80" s="19"/>
      <c r="E80" s="19"/>
      <c r="F80" s="203" t="str">
        <f t="shared" si="2"/>
        <v/>
      </c>
    </row>
    <row r="81" spans="1:6" ht="14.1" customHeight="1">
      <c r="A81" s="14">
        <f t="shared" si="1"/>
        <v>77</v>
      </c>
      <c r="B81" s="18"/>
      <c r="C81" s="16" t="s">
        <v>1679</v>
      </c>
      <c r="D81" s="19"/>
      <c r="E81" s="19"/>
      <c r="F81" s="203" t="str">
        <f t="shared" si="2"/>
        <v/>
      </c>
    </row>
    <row r="82" spans="1:6" ht="14.1" customHeight="1">
      <c r="A82" s="14">
        <f t="shared" si="1"/>
        <v>78</v>
      </c>
      <c r="B82" s="18"/>
      <c r="C82" s="16" t="s">
        <v>1679</v>
      </c>
      <c r="D82" s="19"/>
      <c r="E82" s="19"/>
      <c r="F82" s="203" t="str">
        <f t="shared" si="2"/>
        <v/>
      </c>
    </row>
    <row r="83" spans="1:6" ht="14.1" customHeight="1">
      <c r="A83" s="14">
        <f t="shared" si="1"/>
        <v>79</v>
      </c>
      <c r="B83" s="18"/>
      <c r="C83" s="16" t="s">
        <v>1679</v>
      </c>
      <c r="D83" s="19"/>
      <c r="E83" s="19"/>
      <c r="F83" s="203" t="str">
        <f t="shared" si="2"/>
        <v/>
      </c>
    </row>
    <row r="84" spans="1:6" ht="14.1" customHeight="1">
      <c r="A84" s="14">
        <f t="shared" ref="A84:A117" si="3">A83+1</f>
        <v>80</v>
      </c>
      <c r="B84" s="18"/>
      <c r="C84" s="16" t="s">
        <v>1679</v>
      </c>
      <c r="D84" s="19"/>
      <c r="E84" s="19"/>
      <c r="F84" s="203" t="str">
        <f t="shared" si="2"/>
        <v/>
      </c>
    </row>
    <row r="85" spans="1:6" ht="14.1" customHeight="1">
      <c r="A85" s="14">
        <f t="shared" si="3"/>
        <v>81</v>
      </c>
      <c r="B85" s="18"/>
      <c r="C85" s="16" t="s">
        <v>1679</v>
      </c>
      <c r="D85" s="19"/>
      <c r="E85" s="19"/>
      <c r="F85" s="203" t="str">
        <f t="shared" si="2"/>
        <v/>
      </c>
    </row>
    <row r="86" spans="1:6" ht="14.1" customHeight="1">
      <c r="A86" s="14">
        <f t="shared" si="3"/>
        <v>82</v>
      </c>
      <c r="B86" s="18"/>
      <c r="C86" s="16" t="s">
        <v>1679</v>
      </c>
      <c r="D86" s="19"/>
      <c r="E86" s="19"/>
      <c r="F86" s="203" t="str">
        <f t="shared" si="2"/>
        <v/>
      </c>
    </row>
    <row r="87" spans="1:6" ht="14.1" customHeight="1">
      <c r="A87" s="14">
        <f t="shared" si="3"/>
        <v>83</v>
      </c>
      <c r="B87" s="18"/>
      <c r="C87" s="16" t="s">
        <v>1679</v>
      </c>
      <c r="D87" s="19"/>
      <c r="E87" s="19"/>
      <c r="F87" s="203" t="str">
        <f t="shared" si="2"/>
        <v/>
      </c>
    </row>
    <row r="88" spans="1:6" ht="14.1" customHeight="1">
      <c r="A88" s="14">
        <f t="shared" si="3"/>
        <v>84</v>
      </c>
      <c r="B88" s="18"/>
      <c r="C88" s="16" t="s">
        <v>1679</v>
      </c>
      <c r="D88" s="19"/>
      <c r="E88" s="19"/>
      <c r="F88" s="203" t="str">
        <f t="shared" si="2"/>
        <v/>
      </c>
    </row>
    <row r="89" spans="1:6" ht="14.1" customHeight="1">
      <c r="A89" s="14">
        <f t="shared" si="3"/>
        <v>85</v>
      </c>
      <c r="B89" s="18"/>
      <c r="C89" s="16" t="s">
        <v>1679</v>
      </c>
      <c r="D89" s="19"/>
      <c r="E89" s="19"/>
      <c r="F89" s="203" t="str">
        <f t="shared" si="2"/>
        <v/>
      </c>
    </row>
    <row r="90" spans="1:6" ht="14.1" customHeight="1">
      <c r="A90" s="14">
        <f t="shared" si="3"/>
        <v>86</v>
      </c>
      <c r="B90" s="18"/>
      <c r="C90" s="16" t="s">
        <v>1679</v>
      </c>
      <c r="D90" s="19"/>
      <c r="E90" s="19"/>
      <c r="F90" s="203" t="str">
        <f t="shared" si="2"/>
        <v/>
      </c>
    </row>
    <row r="91" spans="1:6" ht="14.1" customHeight="1">
      <c r="A91" s="14">
        <f t="shared" si="3"/>
        <v>87</v>
      </c>
      <c r="B91" s="18"/>
      <c r="C91" s="16" t="s">
        <v>1679</v>
      </c>
      <c r="D91" s="19"/>
      <c r="E91" s="19"/>
      <c r="F91" s="203" t="str">
        <f t="shared" si="2"/>
        <v/>
      </c>
    </row>
    <row r="92" spans="1:6" ht="14.1" customHeight="1">
      <c r="A92" s="14">
        <f t="shared" si="3"/>
        <v>88</v>
      </c>
      <c r="B92" s="18"/>
      <c r="C92" s="16" t="s">
        <v>1679</v>
      </c>
      <c r="D92" s="19"/>
      <c r="E92" s="19"/>
      <c r="F92" s="203" t="str">
        <f t="shared" si="2"/>
        <v/>
      </c>
    </row>
    <row r="93" spans="1:6" ht="14.1" customHeight="1">
      <c r="A93" s="14">
        <f t="shared" si="3"/>
        <v>89</v>
      </c>
      <c r="B93" s="18"/>
      <c r="C93" s="16" t="s">
        <v>1679</v>
      </c>
      <c r="D93" s="19"/>
      <c r="E93" s="19"/>
      <c r="F93" s="203" t="str">
        <f t="shared" si="2"/>
        <v/>
      </c>
    </row>
    <row r="94" spans="1:6" ht="14.1" customHeight="1">
      <c r="A94" s="14">
        <f t="shared" si="3"/>
        <v>90</v>
      </c>
      <c r="B94" s="18"/>
      <c r="C94" s="16" t="s">
        <v>1679</v>
      </c>
      <c r="D94" s="19"/>
      <c r="E94" s="19"/>
      <c r="F94" s="203" t="str">
        <f t="shared" si="2"/>
        <v/>
      </c>
    </row>
    <row r="95" spans="1:6" ht="14.1" customHeight="1">
      <c r="A95" s="14">
        <f t="shared" si="3"/>
        <v>91</v>
      </c>
      <c r="B95" s="18"/>
      <c r="C95" s="16" t="s">
        <v>1679</v>
      </c>
      <c r="D95" s="19"/>
      <c r="E95" s="19"/>
      <c r="F95" s="203" t="str">
        <f t="shared" si="2"/>
        <v/>
      </c>
    </row>
    <row r="96" spans="1:6" ht="14.1" customHeight="1">
      <c r="A96" s="14">
        <f t="shared" si="3"/>
        <v>92</v>
      </c>
      <c r="B96" s="18"/>
      <c r="C96" s="16" t="s">
        <v>1679</v>
      </c>
      <c r="D96" s="19"/>
      <c r="E96" s="19"/>
      <c r="F96" s="203" t="str">
        <f t="shared" si="2"/>
        <v/>
      </c>
    </row>
    <row r="97" spans="1:6" ht="14.1" customHeight="1">
      <c r="A97" s="14">
        <f t="shared" si="3"/>
        <v>93</v>
      </c>
      <c r="B97" s="18"/>
      <c r="C97" s="16" t="s">
        <v>1679</v>
      </c>
      <c r="D97" s="19"/>
      <c r="E97" s="19"/>
      <c r="F97" s="203" t="str">
        <f t="shared" si="2"/>
        <v/>
      </c>
    </row>
    <row r="98" spans="1:6" ht="14.1" customHeight="1">
      <c r="A98" s="14">
        <f t="shared" si="3"/>
        <v>94</v>
      </c>
      <c r="B98" s="18"/>
      <c r="C98" s="16" t="s">
        <v>1679</v>
      </c>
      <c r="D98" s="19"/>
      <c r="E98" s="19"/>
      <c r="F98" s="203" t="str">
        <f t="shared" si="2"/>
        <v/>
      </c>
    </row>
    <row r="99" spans="1:6" ht="14.1" customHeight="1">
      <c r="A99" s="14">
        <f t="shared" si="3"/>
        <v>95</v>
      </c>
      <c r="B99" s="18"/>
      <c r="C99" s="16" t="s">
        <v>1679</v>
      </c>
      <c r="D99" s="19"/>
      <c r="E99" s="19"/>
      <c r="F99" s="203" t="str">
        <f t="shared" si="2"/>
        <v/>
      </c>
    </row>
    <row r="100" spans="1:6" ht="14.1" customHeight="1">
      <c r="A100" s="14">
        <f t="shared" si="3"/>
        <v>96</v>
      </c>
      <c r="B100" s="18"/>
      <c r="C100" s="16" t="s">
        <v>1679</v>
      </c>
      <c r="D100" s="19"/>
      <c r="E100" s="19"/>
      <c r="F100" s="203" t="str">
        <f t="shared" si="2"/>
        <v/>
      </c>
    </row>
    <row r="101" spans="1:6" ht="14.1" customHeight="1">
      <c r="A101" s="14">
        <f t="shared" si="3"/>
        <v>97</v>
      </c>
      <c r="B101" s="18"/>
      <c r="C101" s="16" t="s">
        <v>1679</v>
      </c>
      <c r="D101" s="19"/>
      <c r="E101" s="19"/>
      <c r="F101" s="203" t="str">
        <f t="shared" si="2"/>
        <v/>
      </c>
    </row>
    <row r="102" spans="1:6" ht="14.1" customHeight="1">
      <c r="A102" s="14">
        <f t="shared" si="3"/>
        <v>98</v>
      </c>
      <c r="B102" s="18"/>
      <c r="C102" s="16" t="s">
        <v>1679</v>
      </c>
      <c r="D102" s="19"/>
      <c r="E102" s="19"/>
      <c r="F102" s="203" t="str">
        <f t="shared" si="2"/>
        <v/>
      </c>
    </row>
    <row r="103" spans="1:6" ht="14.1" customHeight="1">
      <c r="A103" s="14">
        <f t="shared" si="3"/>
        <v>99</v>
      </c>
      <c r="B103" s="18"/>
      <c r="C103" s="16" t="s">
        <v>1679</v>
      </c>
      <c r="D103" s="19"/>
      <c r="E103" s="19"/>
      <c r="F103" s="203" t="str">
        <f t="shared" si="2"/>
        <v/>
      </c>
    </row>
    <row r="104" spans="1:6" ht="14.1" customHeight="1">
      <c r="A104" s="14">
        <f t="shared" si="3"/>
        <v>100</v>
      </c>
      <c r="B104" s="18"/>
      <c r="C104" s="16" t="s">
        <v>1679</v>
      </c>
      <c r="D104" s="19"/>
      <c r="E104" s="19"/>
      <c r="F104" s="203" t="str">
        <f t="shared" si="2"/>
        <v/>
      </c>
    </row>
    <row r="105" spans="1:6" ht="14.1" customHeight="1">
      <c r="A105" s="14">
        <f t="shared" si="3"/>
        <v>101</v>
      </c>
      <c r="B105" s="18"/>
      <c r="C105" s="16" t="s">
        <v>1679</v>
      </c>
      <c r="D105" s="19"/>
      <c r="E105" s="19"/>
      <c r="F105" s="203" t="str">
        <f t="shared" si="2"/>
        <v/>
      </c>
    </row>
    <row r="106" spans="1:6" ht="14.1" customHeight="1">
      <c r="A106" s="14">
        <f t="shared" si="3"/>
        <v>102</v>
      </c>
      <c r="B106" s="18"/>
      <c r="C106" s="16" t="s">
        <v>1679</v>
      </c>
      <c r="D106" s="19"/>
      <c r="E106" s="19"/>
      <c r="F106" s="203" t="str">
        <f t="shared" si="2"/>
        <v/>
      </c>
    </row>
    <row r="107" spans="1:6" ht="14.1" customHeight="1">
      <c r="A107" s="14">
        <f t="shared" si="3"/>
        <v>103</v>
      </c>
      <c r="B107" s="18"/>
      <c r="C107" s="16" t="s">
        <v>1679</v>
      </c>
      <c r="D107" s="19"/>
      <c r="E107" s="19"/>
      <c r="F107" s="203" t="str">
        <f t="shared" si="2"/>
        <v/>
      </c>
    </row>
    <row r="108" spans="1:6" ht="14.1" customHeight="1">
      <c r="A108" s="14">
        <f t="shared" si="3"/>
        <v>104</v>
      </c>
      <c r="B108" s="18"/>
      <c r="C108" s="16" t="s">
        <v>1679</v>
      </c>
      <c r="D108" s="19"/>
      <c r="E108" s="19"/>
      <c r="F108" s="203" t="str">
        <f t="shared" si="2"/>
        <v/>
      </c>
    </row>
    <row r="109" spans="1:6" ht="14.1" customHeight="1">
      <c r="A109" s="14">
        <f t="shared" si="3"/>
        <v>105</v>
      </c>
      <c r="B109" s="18"/>
      <c r="C109" s="16" t="s">
        <v>1679</v>
      </c>
      <c r="D109" s="19"/>
      <c r="E109" s="19"/>
      <c r="F109" s="203" t="str">
        <f t="shared" si="2"/>
        <v/>
      </c>
    </row>
    <row r="110" spans="1:6" ht="14.1" customHeight="1">
      <c r="A110" s="14">
        <f t="shared" si="3"/>
        <v>106</v>
      </c>
      <c r="B110" s="18"/>
      <c r="C110" s="16" t="s">
        <v>1679</v>
      </c>
      <c r="D110" s="19"/>
      <c r="E110" s="19"/>
      <c r="F110" s="203" t="str">
        <f t="shared" si="2"/>
        <v/>
      </c>
    </row>
    <row r="111" spans="1:6" ht="14.1" customHeight="1">
      <c r="A111" s="14">
        <f t="shared" si="3"/>
        <v>107</v>
      </c>
      <c r="B111" s="18"/>
      <c r="C111" s="16" t="s">
        <v>1679</v>
      </c>
      <c r="D111" s="19"/>
      <c r="E111" s="19"/>
      <c r="F111" s="203" t="str">
        <f t="shared" si="2"/>
        <v/>
      </c>
    </row>
    <row r="112" spans="1:6" ht="14.1" customHeight="1">
      <c r="A112" s="14">
        <f t="shared" si="3"/>
        <v>108</v>
      </c>
      <c r="B112" s="18"/>
      <c r="C112" s="16" t="s">
        <v>1679</v>
      </c>
      <c r="D112" s="19"/>
      <c r="E112" s="19"/>
      <c r="F112" s="203" t="str">
        <f t="shared" si="2"/>
        <v/>
      </c>
    </row>
    <row r="113" spans="1:6" ht="14.1" customHeight="1">
      <c r="A113" s="14">
        <f t="shared" si="3"/>
        <v>109</v>
      </c>
      <c r="B113" s="18"/>
      <c r="C113" s="16" t="s">
        <v>1679</v>
      </c>
      <c r="D113" s="19"/>
      <c r="E113" s="19"/>
      <c r="F113" s="203" t="str">
        <f t="shared" si="2"/>
        <v/>
      </c>
    </row>
    <row r="114" spans="1:6" ht="14.1" customHeight="1">
      <c r="A114" s="14">
        <f t="shared" si="3"/>
        <v>110</v>
      </c>
      <c r="B114" s="18"/>
      <c r="C114" s="16" t="s">
        <v>1679</v>
      </c>
      <c r="D114" s="19"/>
      <c r="E114" s="19"/>
      <c r="F114" s="203" t="str">
        <f t="shared" si="2"/>
        <v/>
      </c>
    </row>
    <row r="115" spans="1:6" ht="14.1" customHeight="1">
      <c r="A115" s="14">
        <f t="shared" si="3"/>
        <v>111</v>
      </c>
      <c r="B115" s="18"/>
      <c r="C115" s="16" t="s">
        <v>1679</v>
      </c>
      <c r="D115" s="19"/>
      <c r="E115" s="19"/>
      <c r="F115" s="203" t="str">
        <f t="shared" si="2"/>
        <v/>
      </c>
    </row>
    <row r="116" spans="1:6" ht="14.1" customHeight="1">
      <c r="A116" s="14">
        <f t="shared" si="3"/>
        <v>112</v>
      </c>
      <c r="B116" s="18"/>
      <c r="C116" s="16" t="s">
        <v>1679</v>
      </c>
      <c r="D116" s="19"/>
      <c r="E116" s="19"/>
      <c r="F116" s="203" t="str">
        <f t="shared" si="2"/>
        <v/>
      </c>
    </row>
    <row r="117" spans="1:6" ht="14.1" customHeight="1">
      <c r="A117" s="14">
        <f t="shared" si="3"/>
        <v>113</v>
      </c>
      <c r="B117" s="18"/>
      <c r="C117" s="16" t="s">
        <v>1679</v>
      </c>
      <c r="D117" s="19"/>
      <c r="E117" s="19"/>
      <c r="F117" s="203" t="str">
        <f t="shared" si="2"/>
        <v/>
      </c>
    </row>
  </sheetData>
  <sheetProtection algorithmName="SHA-512" hashValue="FS+EBntet4w6qKwqOO0Pi9Oxv0B6OZPjmLZBn8k+ufwTuNbP5PtrJNYScZcr7gi8iuQ3WgIBjdsPg394gllZAg==" saltValue="/c087VGWB53hhrXYQWizHA==" spinCount="100000" sheet="1" objects="1" scenarios="1" insertHyperlinks="0" selectLockedCells="1" pivotTables="0"/>
  <customSheetViews>
    <customSheetView guid="{3A20BFFC-9D9E-415D-AC5D-1CC81DA9B04C}">
      <pane ySplit="1" topLeftCell="A2" activePane="bottomLeft" state="frozen"/>
      <selection pane="bottomLeft" activeCell="A2" sqref="A2"/>
      <pageMargins left="0.75" right="0.75" top="1" bottom="1" header="0.5" footer="0.5"/>
      <pageSetup orientation="portrait" r:id="rId1"/>
      <headerFooter alignWithMargins="0"/>
    </customSheetView>
  </customSheetViews>
  <phoneticPr fontId="0" type="noConversion"/>
  <hyperlinks>
    <hyperlink ref="F1" location="'Terms of Use'!A1" display="(C) 2017" xr:uid="{00000000-0004-0000-0B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Go_to_TopOfFloorsInput">
                <anchor moveWithCells="1">
                  <from>
                    <xdr:col>3</xdr:col>
                    <xdr:colOff>114300</xdr:colOff>
                    <xdr:row>76</xdr:row>
                    <xdr:rowOff>19050</xdr:rowOff>
                  </from>
                  <to>
                    <xdr:col>4</xdr:col>
                    <xdr:colOff>904875</xdr:colOff>
                    <xdr:row>76</xdr:row>
                    <xdr:rowOff>304800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labOnGrade">
    <tabColor theme="0"/>
  </sheetPr>
  <dimension ref="A1:X1429"/>
  <sheetViews>
    <sheetView zoomScaleNormal="100" workbookViewId="0">
      <pane ySplit="3" topLeftCell="A4" activePane="bottomLeft" state="frozen"/>
      <selection activeCell="D18" sqref="D18"/>
      <selection pane="bottomLeft" activeCell="B80" sqref="B80"/>
    </sheetView>
  </sheetViews>
  <sheetFormatPr defaultColWidth="8.7109375" defaultRowHeight="14.1" customHeight="1"/>
  <cols>
    <col min="1" max="1" width="8.7109375" style="14" customWidth="1"/>
    <col min="2" max="2" width="55.5703125" style="15" customWidth="1"/>
    <col min="3" max="3" width="13.28515625" style="16" customWidth="1"/>
    <col min="4" max="4" width="8.7109375" style="16" customWidth="1"/>
    <col min="5" max="5" width="32" style="17" customWidth="1"/>
    <col min="6" max="8" width="8.7109375" style="15"/>
    <col min="9" max="9" width="12.7109375" style="15" customWidth="1"/>
    <col min="10" max="10" width="13.140625" style="15" customWidth="1"/>
    <col min="11" max="11" width="11.5703125" style="15" customWidth="1"/>
    <col min="12" max="12" width="11.85546875" style="15" customWidth="1"/>
    <col min="13" max="13" width="12.28515625" style="15" customWidth="1"/>
    <col min="14" max="16384" width="8.7109375" style="15"/>
  </cols>
  <sheetData>
    <row r="1" spans="1:24" ht="21.75"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row>
    <row r="2" spans="1:24" ht="19.5" customHeight="1">
      <c r="A2" s="549" t="s">
        <v>2549</v>
      </c>
      <c r="B2" s="550"/>
      <c r="C2" s="551"/>
      <c r="D2" s="552"/>
      <c r="E2" s="552"/>
      <c r="F2" s="550"/>
      <c r="G2" s="550"/>
      <c r="H2" s="550"/>
      <c r="I2" s="550"/>
      <c r="J2" s="553"/>
      <c r="K2" s="550"/>
      <c r="L2" s="550"/>
      <c r="M2" s="550"/>
      <c r="N2" s="550"/>
      <c r="O2" s="550"/>
      <c r="P2" s="550"/>
      <c r="Q2" s="550"/>
      <c r="R2" s="550"/>
      <c r="S2" s="550"/>
      <c r="T2" s="550"/>
      <c r="U2" s="550"/>
      <c r="V2" s="550"/>
      <c r="W2" s="550"/>
      <c r="X2" s="550"/>
    </row>
    <row r="3" spans="1:24" ht="14.1" customHeight="1">
      <c r="A3" s="524" t="s">
        <v>1400</v>
      </c>
      <c r="B3" s="425" t="s">
        <v>1401</v>
      </c>
      <c r="C3" s="438" t="s">
        <v>1402</v>
      </c>
      <c r="D3" s="441" t="s">
        <v>90</v>
      </c>
    </row>
    <row r="5" spans="1:24" ht="14.1" customHeight="1">
      <c r="A5" s="14">
        <v>1</v>
      </c>
    </row>
    <row r="6" spans="1:24" ht="14.1" customHeight="1">
      <c r="A6" s="14">
        <f>A5+1</f>
        <v>2</v>
      </c>
      <c r="B6" s="101" t="s">
        <v>2063</v>
      </c>
    </row>
    <row r="7" spans="1:24" ht="14.1" customHeight="1">
      <c r="A7" s="14">
        <f t="shared" ref="A7:A91" si="0">A6+1</f>
        <v>3</v>
      </c>
      <c r="B7" s="77" t="s">
        <v>58</v>
      </c>
      <c r="C7" s="16" t="s">
        <v>59</v>
      </c>
      <c r="D7" s="16">
        <v>0.73</v>
      </c>
    </row>
    <row r="8" spans="1:24" ht="14.1" customHeight="1">
      <c r="A8" s="14">
        <f t="shared" si="0"/>
        <v>4</v>
      </c>
      <c r="B8" s="77" t="s">
        <v>2583</v>
      </c>
      <c r="C8" s="16" t="s">
        <v>59</v>
      </c>
      <c r="D8" s="16">
        <v>0.54</v>
      </c>
    </row>
    <row r="9" spans="1:24" ht="14.1" customHeight="1">
      <c r="A9" s="14">
        <f t="shared" si="0"/>
        <v>5</v>
      </c>
      <c r="B9" s="77" t="s">
        <v>3060</v>
      </c>
      <c r="C9" s="77" t="str">
        <f>C45</f>
        <v>WSU</v>
      </c>
      <c r="D9" s="77">
        <f>D45</f>
        <v>0.54</v>
      </c>
    </row>
    <row r="10" spans="1:24" ht="14.1" customHeight="1">
      <c r="A10" s="14">
        <f t="shared" si="0"/>
        <v>6</v>
      </c>
      <c r="B10" s="77" t="s">
        <v>66</v>
      </c>
      <c r="C10" s="77"/>
      <c r="D10" s="77">
        <f>D38</f>
        <v>0.48</v>
      </c>
    </row>
    <row r="11" spans="1:24" ht="14.1" customHeight="1">
      <c r="A11" s="14">
        <f t="shared" si="0"/>
        <v>7</v>
      </c>
      <c r="B11" s="77" t="s">
        <v>74</v>
      </c>
      <c r="C11" s="77"/>
      <c r="D11" s="77">
        <f>D49</f>
        <v>0.48</v>
      </c>
    </row>
    <row r="12" spans="1:24" ht="14.1" customHeight="1">
      <c r="A12" s="14">
        <f t="shared" si="0"/>
        <v>8</v>
      </c>
      <c r="B12" s="77" t="s">
        <v>2170</v>
      </c>
      <c r="C12" s="164" t="s">
        <v>2358</v>
      </c>
      <c r="D12" s="16">
        <v>0.54</v>
      </c>
    </row>
    <row r="13" spans="1:24" ht="14.1" customHeight="1">
      <c r="A13" s="14">
        <f t="shared" si="0"/>
        <v>9</v>
      </c>
      <c r="B13" s="77" t="s">
        <v>2584</v>
      </c>
      <c r="C13" s="16" t="s">
        <v>59</v>
      </c>
      <c r="D13" s="16">
        <v>0.55000000000000004</v>
      </c>
    </row>
    <row r="14" spans="1:24" ht="14.1" customHeight="1">
      <c r="A14" s="14">
        <f t="shared" si="0"/>
        <v>10</v>
      </c>
      <c r="B14" s="77" t="s">
        <v>2970</v>
      </c>
      <c r="C14" s="16" t="s">
        <v>59</v>
      </c>
      <c r="D14" s="16">
        <v>0.36</v>
      </c>
    </row>
    <row r="15" spans="1:24" ht="14.1" customHeight="1">
      <c r="A15" s="14">
        <f t="shared" si="0"/>
        <v>11</v>
      </c>
      <c r="B15" s="77" t="s">
        <v>2971</v>
      </c>
      <c r="C15" s="152" t="s">
        <v>2120</v>
      </c>
      <c r="D15" s="16">
        <v>0.26100000000000001</v>
      </c>
    </row>
    <row r="16" spans="1:24" ht="14.1" customHeight="1">
      <c r="A16" s="14">
        <f t="shared" si="0"/>
        <v>12</v>
      </c>
      <c r="B16" s="77" t="str">
        <f>B68</f>
        <v>R20 Fully insulated Heated</v>
      </c>
      <c r="C16" s="77" t="str">
        <f>C68</f>
        <v>Table A6.3, ASHRAE 90.1</v>
      </c>
      <c r="D16" s="77">
        <f>D68</f>
        <v>0.373</v>
      </c>
    </row>
    <row r="17" spans="1:4" ht="14.1" customHeight="1">
      <c r="A17" s="14">
        <f t="shared" si="0"/>
        <v>13</v>
      </c>
      <c r="B17" s="77" t="s">
        <v>2766</v>
      </c>
      <c r="C17" s="152" t="s">
        <v>2261</v>
      </c>
      <c r="D17" s="16">
        <v>0</v>
      </c>
    </row>
    <row r="18" spans="1:4" ht="14.1" customHeight="1">
      <c r="A18" s="14">
        <f t="shared" si="0"/>
        <v>14</v>
      </c>
      <c r="B18" s="15" t="s">
        <v>3167</v>
      </c>
      <c r="C18" s="152" t="s">
        <v>3168</v>
      </c>
      <c r="D18" s="16">
        <v>0.54</v>
      </c>
    </row>
    <row r="19" spans="1:4" ht="14.1" customHeight="1">
      <c r="A19" s="14">
        <f t="shared" si="0"/>
        <v>15</v>
      </c>
      <c r="B19" s="101" t="s">
        <v>2110</v>
      </c>
    </row>
    <row r="20" spans="1:4" ht="14.1" customHeight="1">
      <c r="A20" s="14">
        <f t="shared" si="0"/>
        <v>16</v>
      </c>
      <c r="B20" s="77" t="s">
        <v>58</v>
      </c>
      <c r="C20" s="16" t="s">
        <v>59</v>
      </c>
      <c r="D20" s="16">
        <v>0.73</v>
      </c>
    </row>
    <row r="21" spans="1:4" ht="14.1" customHeight="1">
      <c r="A21" s="14">
        <f t="shared" si="0"/>
        <v>17</v>
      </c>
      <c r="B21" s="77" t="s">
        <v>3052</v>
      </c>
      <c r="C21" s="16" t="s">
        <v>59</v>
      </c>
      <c r="D21" s="16">
        <v>0.7</v>
      </c>
    </row>
    <row r="22" spans="1:4" ht="14.1" customHeight="1">
      <c r="A22" s="14">
        <f t="shared" si="0"/>
        <v>18</v>
      </c>
      <c r="B22" s="77" t="s">
        <v>3053</v>
      </c>
      <c r="C22" s="16" t="s">
        <v>59</v>
      </c>
      <c r="D22" s="16">
        <v>0.7</v>
      </c>
    </row>
    <row r="23" spans="1:4" ht="14.1" customHeight="1">
      <c r="A23" s="14">
        <f t="shared" si="0"/>
        <v>19</v>
      </c>
      <c r="B23" s="77" t="s">
        <v>3054</v>
      </c>
      <c r="C23" s="16" t="s">
        <v>59</v>
      </c>
      <c r="D23" s="16">
        <v>0.7</v>
      </c>
    </row>
    <row r="24" spans="1:4" ht="14.1" customHeight="1">
      <c r="A24" s="14">
        <f t="shared" si="0"/>
        <v>20</v>
      </c>
      <c r="B24" s="77" t="s">
        <v>3055</v>
      </c>
      <c r="C24" s="16" t="s">
        <v>59</v>
      </c>
      <c r="D24" s="16">
        <v>0.69</v>
      </c>
    </row>
    <row r="25" spans="1:4" ht="14.1" customHeight="1">
      <c r="A25" s="14">
        <f t="shared" si="0"/>
        <v>21</v>
      </c>
      <c r="B25" s="77" t="s">
        <v>3056</v>
      </c>
      <c r="C25" s="16" t="s">
        <v>59</v>
      </c>
      <c r="D25" s="16">
        <v>0.67</v>
      </c>
    </row>
    <row r="26" spans="1:4" ht="14.1" customHeight="1">
      <c r="A26" s="14">
        <f t="shared" si="0"/>
        <v>22</v>
      </c>
      <c r="B26" s="77" t="s">
        <v>3057</v>
      </c>
      <c r="C26" s="16" t="s">
        <v>1577</v>
      </c>
      <c r="D26" s="16">
        <v>0.65500000000000003</v>
      </c>
    </row>
    <row r="27" spans="1:4" ht="14.1" customHeight="1">
      <c r="A27" s="14">
        <f t="shared" si="0"/>
        <v>23</v>
      </c>
      <c r="B27" s="77" t="s">
        <v>3058</v>
      </c>
      <c r="C27" s="16" t="s">
        <v>59</v>
      </c>
      <c r="D27" s="16">
        <v>0.64</v>
      </c>
    </row>
    <row r="28" spans="1:4" ht="14.1" customHeight="1">
      <c r="A28" s="14">
        <f t="shared" si="0"/>
        <v>24</v>
      </c>
      <c r="B28" s="77" t="s">
        <v>3059</v>
      </c>
      <c r="C28" s="16" t="s">
        <v>59</v>
      </c>
      <c r="D28" s="16">
        <v>0.63</v>
      </c>
    </row>
    <row r="29" spans="1:4" ht="14.1" customHeight="1">
      <c r="A29" s="14">
        <f t="shared" si="0"/>
        <v>25</v>
      </c>
      <c r="B29" s="15" t="s">
        <v>60</v>
      </c>
      <c r="C29" s="16" t="s">
        <v>59</v>
      </c>
      <c r="D29" s="16">
        <v>0.57999999999999996</v>
      </c>
    </row>
    <row r="30" spans="1:4" ht="14.1" customHeight="1">
      <c r="A30" s="14">
        <f t="shared" si="0"/>
        <v>26</v>
      </c>
      <c r="B30" s="15" t="s">
        <v>61</v>
      </c>
      <c r="C30" s="16" t="s">
        <v>1577</v>
      </c>
      <c r="D30" s="16">
        <v>0.56000000000000005</v>
      </c>
    </row>
    <row r="31" spans="1:4" ht="14.1" customHeight="1">
      <c r="A31" s="14">
        <f t="shared" si="0"/>
        <v>27</v>
      </c>
      <c r="B31" s="15" t="s">
        <v>62</v>
      </c>
      <c r="C31" s="16" t="s">
        <v>59</v>
      </c>
      <c r="D31" s="16">
        <v>0.54</v>
      </c>
    </row>
    <row r="32" spans="1:4" ht="14.1" customHeight="1">
      <c r="A32" s="14">
        <f t="shared" si="0"/>
        <v>28</v>
      </c>
      <c r="B32" s="15" t="s">
        <v>63</v>
      </c>
      <c r="C32" s="16" t="s">
        <v>59</v>
      </c>
      <c r="D32" s="16">
        <v>0.52</v>
      </c>
    </row>
    <row r="33" spans="1:4" ht="14.1" customHeight="1">
      <c r="A33" s="14">
        <f t="shared" si="0"/>
        <v>29</v>
      </c>
      <c r="B33" s="153" t="s">
        <v>3061</v>
      </c>
      <c r="C33" s="155" t="s">
        <v>3062</v>
      </c>
      <c r="D33" s="155">
        <v>0.51</v>
      </c>
    </row>
    <row r="34" spans="1:4" ht="14.1" customHeight="1">
      <c r="A34" s="14">
        <f t="shared" si="0"/>
        <v>30</v>
      </c>
      <c r="B34" s="153" t="s">
        <v>3063</v>
      </c>
      <c r="C34" s="155" t="s">
        <v>3062</v>
      </c>
      <c r="D34" s="155">
        <v>0.505</v>
      </c>
    </row>
    <row r="35" spans="1:4" ht="14.1" customHeight="1">
      <c r="A35" s="14">
        <f t="shared" si="0"/>
        <v>31</v>
      </c>
      <c r="B35" s="153" t="s">
        <v>3064</v>
      </c>
      <c r="C35" s="155" t="s">
        <v>3062</v>
      </c>
      <c r="D35" s="155">
        <v>0.502</v>
      </c>
    </row>
    <row r="36" spans="1:4" ht="14.1" customHeight="1">
      <c r="A36" s="14">
        <f t="shared" si="0"/>
        <v>32</v>
      </c>
      <c r="B36" s="15" t="s">
        <v>64</v>
      </c>
      <c r="C36" s="16" t="s">
        <v>59</v>
      </c>
      <c r="D36" s="16">
        <v>0.54</v>
      </c>
    </row>
    <row r="37" spans="1:4" ht="14.1" customHeight="1">
      <c r="A37" s="14">
        <f t="shared" si="0"/>
        <v>33</v>
      </c>
      <c r="B37" s="15" t="s">
        <v>65</v>
      </c>
      <c r="C37" s="16" t="s">
        <v>1577</v>
      </c>
      <c r="D37" s="16">
        <v>0.51</v>
      </c>
    </row>
    <row r="38" spans="1:4" ht="14.1" customHeight="1">
      <c r="A38" s="14">
        <f t="shared" si="0"/>
        <v>34</v>
      </c>
      <c r="B38" s="15" t="s">
        <v>66</v>
      </c>
      <c r="C38" s="16" t="s">
        <v>59</v>
      </c>
      <c r="D38" s="16">
        <v>0.48</v>
      </c>
    </row>
    <row r="39" spans="1:4" ht="14.1" customHeight="1">
      <c r="A39" s="14">
        <f t="shared" si="0"/>
        <v>35</v>
      </c>
      <c r="B39" s="15" t="s">
        <v>67</v>
      </c>
      <c r="C39" s="16" t="s">
        <v>59</v>
      </c>
      <c r="D39" s="16">
        <v>0.45</v>
      </c>
    </row>
    <row r="40" spans="1:4" ht="14.1" customHeight="1">
      <c r="A40" s="14">
        <f t="shared" si="0"/>
        <v>36</v>
      </c>
      <c r="B40" s="153" t="s">
        <v>3065</v>
      </c>
      <c r="C40" s="155" t="s">
        <v>3062</v>
      </c>
      <c r="D40" s="16">
        <v>0.434</v>
      </c>
    </row>
    <row r="41" spans="1:4" ht="14.1" customHeight="1">
      <c r="A41" s="14">
        <f t="shared" si="0"/>
        <v>37</v>
      </c>
      <c r="B41" s="153" t="s">
        <v>3066</v>
      </c>
      <c r="C41" s="155" t="s">
        <v>3062</v>
      </c>
      <c r="D41" s="16">
        <v>0.42399999999999999</v>
      </c>
    </row>
    <row r="42" spans="1:4" ht="14.1" customHeight="1">
      <c r="A42" s="14">
        <f t="shared" si="0"/>
        <v>38</v>
      </c>
      <c r="B42" s="153" t="s">
        <v>3067</v>
      </c>
      <c r="C42" s="155" t="s">
        <v>3062</v>
      </c>
      <c r="D42" s="16">
        <v>0.41899999999999998</v>
      </c>
    </row>
    <row r="43" spans="1:4" ht="14.1" customHeight="1">
      <c r="A43" s="14">
        <f t="shared" si="0"/>
        <v>39</v>
      </c>
      <c r="B43" s="15" t="s">
        <v>68</v>
      </c>
      <c r="C43" s="16" t="s">
        <v>1577</v>
      </c>
      <c r="D43" s="16">
        <v>0.57999999999999996</v>
      </c>
    </row>
    <row r="44" spans="1:4" ht="14.1" customHeight="1">
      <c r="A44" s="14">
        <f t="shared" si="0"/>
        <v>40</v>
      </c>
      <c r="B44" s="15" t="s">
        <v>69</v>
      </c>
      <c r="C44" s="16" t="s">
        <v>1577</v>
      </c>
      <c r="D44" s="16">
        <v>0.56000000000000005</v>
      </c>
    </row>
    <row r="45" spans="1:4" ht="14.1" customHeight="1">
      <c r="A45" s="14">
        <f t="shared" si="0"/>
        <v>41</v>
      </c>
      <c r="B45" s="15" t="s">
        <v>70</v>
      </c>
      <c r="C45" s="16" t="s">
        <v>1577</v>
      </c>
      <c r="D45" s="16">
        <v>0.54</v>
      </c>
    </row>
    <row r="46" spans="1:4" ht="14.1" customHeight="1">
      <c r="A46" s="14">
        <f t="shared" si="0"/>
        <v>42</v>
      </c>
      <c r="B46" s="15" t="s">
        <v>71</v>
      </c>
      <c r="C46" s="16" t="s">
        <v>1577</v>
      </c>
      <c r="D46" s="16">
        <v>0.52</v>
      </c>
    </row>
    <row r="47" spans="1:4" ht="14.1" customHeight="1">
      <c r="A47" s="14">
        <f t="shared" si="0"/>
        <v>43</v>
      </c>
      <c r="B47" s="15" t="s">
        <v>72</v>
      </c>
      <c r="C47" s="16" t="s">
        <v>1577</v>
      </c>
      <c r="D47" s="16">
        <v>0.54</v>
      </c>
    </row>
    <row r="48" spans="1:4" ht="14.1" customHeight="1">
      <c r="A48" s="14">
        <f t="shared" si="0"/>
        <v>44</v>
      </c>
      <c r="B48" s="15" t="s">
        <v>73</v>
      </c>
      <c r="C48" s="16" t="s">
        <v>1577</v>
      </c>
      <c r="D48" s="16">
        <v>0.51</v>
      </c>
    </row>
    <row r="49" spans="1:5" ht="14.1" customHeight="1">
      <c r="A49" s="14">
        <f t="shared" si="0"/>
        <v>45</v>
      </c>
      <c r="B49" s="15" t="s">
        <v>74</v>
      </c>
      <c r="C49" s="16" t="s">
        <v>1577</v>
      </c>
      <c r="D49" s="16">
        <v>0.48</v>
      </c>
    </row>
    <row r="50" spans="1:5" ht="14.1" customHeight="1">
      <c r="A50" s="14">
        <f t="shared" si="0"/>
        <v>46</v>
      </c>
      <c r="B50" s="15" t="s">
        <v>75</v>
      </c>
      <c r="C50" s="16" t="s">
        <v>1577</v>
      </c>
      <c r="D50" s="16">
        <v>0.45</v>
      </c>
    </row>
    <row r="51" spans="1:5" ht="14.1" customHeight="1">
      <c r="A51" s="14">
        <f t="shared" si="0"/>
        <v>47</v>
      </c>
      <c r="B51" s="15" t="s">
        <v>76</v>
      </c>
      <c r="C51" s="16" t="s">
        <v>1577</v>
      </c>
      <c r="D51" s="16">
        <v>0.46</v>
      </c>
    </row>
    <row r="52" spans="1:5" ht="14.1" customHeight="1">
      <c r="A52" s="14">
        <f t="shared" si="0"/>
        <v>48</v>
      </c>
      <c r="B52" s="15" t="s">
        <v>77</v>
      </c>
      <c r="C52" s="16" t="s">
        <v>59</v>
      </c>
      <c r="D52" s="16">
        <v>0.36</v>
      </c>
    </row>
    <row r="53" spans="1:5" ht="14.1" customHeight="1">
      <c r="A53" s="14">
        <f t="shared" si="0"/>
        <v>49</v>
      </c>
      <c r="B53" s="15" t="s">
        <v>78</v>
      </c>
      <c r="C53" s="16" t="s">
        <v>1577</v>
      </c>
      <c r="D53" s="16">
        <v>0.3</v>
      </c>
    </row>
    <row r="54" spans="1:5" ht="14.1" customHeight="1">
      <c r="A54" s="14">
        <f t="shared" si="0"/>
        <v>50</v>
      </c>
      <c r="B54" s="153" t="s">
        <v>2119</v>
      </c>
      <c r="C54" s="154" t="s">
        <v>2120</v>
      </c>
      <c r="D54" s="155">
        <v>0.26100000000000001</v>
      </c>
      <c r="E54" s="152" t="s">
        <v>2134</v>
      </c>
    </row>
    <row r="55" spans="1:5" ht="14.1" customHeight="1">
      <c r="A55" s="14">
        <f t="shared" si="0"/>
        <v>51</v>
      </c>
      <c r="B55" s="153" t="s">
        <v>2121</v>
      </c>
      <c r="C55" s="154" t="s">
        <v>2120</v>
      </c>
      <c r="D55" s="155">
        <v>0.23300000000000001</v>
      </c>
      <c r="E55" s="152" t="s">
        <v>2134</v>
      </c>
    </row>
    <row r="56" spans="1:5" ht="14.1" customHeight="1">
      <c r="A56" s="14">
        <f t="shared" si="0"/>
        <v>52</v>
      </c>
      <c r="B56" s="153" t="s">
        <v>2122</v>
      </c>
      <c r="C56" s="154" t="s">
        <v>2120</v>
      </c>
      <c r="D56" s="155">
        <v>0.21299999999999999</v>
      </c>
      <c r="E56" s="152" t="s">
        <v>2134</v>
      </c>
    </row>
    <row r="57" spans="1:5" ht="14.1" customHeight="1">
      <c r="A57" s="14">
        <f t="shared" si="0"/>
        <v>53</v>
      </c>
      <c r="B57" s="153" t="s">
        <v>2123</v>
      </c>
      <c r="C57" s="154" t="s">
        <v>2120</v>
      </c>
      <c r="D57" s="155">
        <v>0.19800000000000001</v>
      </c>
      <c r="E57" s="152" t="s">
        <v>2134</v>
      </c>
    </row>
    <row r="58" spans="1:5" ht="14.1" customHeight="1">
      <c r="A58" s="14">
        <f t="shared" si="0"/>
        <v>54</v>
      </c>
      <c r="B58" s="153" t="s">
        <v>2124</v>
      </c>
      <c r="C58" s="154" t="s">
        <v>2120</v>
      </c>
      <c r="D58" s="155">
        <v>0.186</v>
      </c>
      <c r="E58" s="152" t="s">
        <v>2134</v>
      </c>
    </row>
    <row r="59" spans="1:5" ht="14.1" customHeight="1">
      <c r="A59" s="14">
        <f t="shared" si="0"/>
        <v>55</v>
      </c>
      <c r="B59" s="153" t="s">
        <v>2125</v>
      </c>
      <c r="C59" s="154" t="s">
        <v>2120</v>
      </c>
      <c r="D59" s="155">
        <v>0.17599999999999999</v>
      </c>
      <c r="E59" s="152" t="s">
        <v>2134</v>
      </c>
    </row>
    <row r="60" spans="1:5" ht="14.1" customHeight="1">
      <c r="A60" s="14">
        <f t="shared" si="0"/>
        <v>56</v>
      </c>
      <c r="B60" s="153" t="s">
        <v>2126</v>
      </c>
      <c r="C60" s="154" t="s">
        <v>2120</v>
      </c>
      <c r="D60" s="155">
        <v>0.16800000000000001</v>
      </c>
      <c r="E60" s="152" t="s">
        <v>2134</v>
      </c>
    </row>
    <row r="61" spans="1:5" ht="14.1" customHeight="1">
      <c r="A61" s="14">
        <f t="shared" si="0"/>
        <v>57</v>
      </c>
      <c r="B61" s="15" t="s">
        <v>79</v>
      </c>
      <c r="C61" s="16" t="s">
        <v>1577</v>
      </c>
      <c r="D61" s="16">
        <v>0.42</v>
      </c>
    </row>
    <row r="62" spans="1:5" ht="14.1" customHeight="1">
      <c r="A62" s="14">
        <f t="shared" si="0"/>
        <v>58</v>
      </c>
      <c r="B62" s="15" t="s">
        <v>80</v>
      </c>
      <c r="C62" s="16" t="s">
        <v>1577</v>
      </c>
      <c r="D62" s="16">
        <v>0.4</v>
      </c>
    </row>
    <row r="63" spans="1:5" ht="14.1" customHeight="1">
      <c r="A63" s="14">
        <f t="shared" si="0"/>
        <v>59</v>
      </c>
      <c r="B63" s="15" t="s">
        <v>81</v>
      </c>
      <c r="C63" s="16" t="s">
        <v>1577</v>
      </c>
      <c r="D63" s="16">
        <v>0.34</v>
      </c>
    </row>
    <row r="64" spans="1:5" ht="14.1" customHeight="1">
      <c r="A64" s="14">
        <f t="shared" si="0"/>
        <v>60</v>
      </c>
      <c r="B64" s="15" t="s">
        <v>82</v>
      </c>
      <c r="C64" s="16" t="s">
        <v>59</v>
      </c>
      <c r="D64" s="16">
        <v>0.84</v>
      </c>
    </row>
    <row r="65" spans="1:10" ht="14.1" customHeight="1">
      <c r="A65" s="14">
        <f t="shared" si="0"/>
        <v>61</v>
      </c>
      <c r="B65" s="15" t="s">
        <v>83</v>
      </c>
      <c r="C65" s="16" t="s">
        <v>59</v>
      </c>
      <c r="D65" s="16">
        <v>0.74</v>
      </c>
    </row>
    <row r="66" spans="1:10" ht="14.1" customHeight="1">
      <c r="A66" s="14">
        <f t="shared" si="0"/>
        <v>62</v>
      </c>
      <c r="B66" s="15" t="s">
        <v>84</v>
      </c>
      <c r="C66" s="16" t="s">
        <v>59</v>
      </c>
      <c r="D66" s="16">
        <v>0.55000000000000004</v>
      </c>
    </row>
    <row r="67" spans="1:10" ht="14.1" customHeight="1">
      <c r="A67" s="14">
        <f t="shared" si="0"/>
        <v>63</v>
      </c>
      <c r="B67" s="15" t="s">
        <v>85</v>
      </c>
      <c r="C67" s="16" t="s">
        <v>59</v>
      </c>
      <c r="D67" s="16">
        <v>0.44</v>
      </c>
    </row>
    <row r="68" spans="1:10" ht="14.1" customHeight="1">
      <c r="A68" s="14">
        <f t="shared" si="0"/>
        <v>64</v>
      </c>
      <c r="B68" s="153" t="s">
        <v>2127</v>
      </c>
      <c r="C68" s="154" t="s">
        <v>2120</v>
      </c>
      <c r="D68" s="155">
        <v>0.373</v>
      </c>
      <c r="E68" s="152" t="s">
        <v>2134</v>
      </c>
    </row>
    <row r="69" spans="1:10" ht="14.1" customHeight="1">
      <c r="A69" s="14">
        <f t="shared" si="0"/>
        <v>65</v>
      </c>
      <c r="B69" s="153" t="s">
        <v>2128</v>
      </c>
      <c r="C69" s="154" t="s">
        <v>2120</v>
      </c>
      <c r="D69" s="155">
        <v>0.32600000000000001</v>
      </c>
      <c r="E69" s="152" t="s">
        <v>2134</v>
      </c>
    </row>
    <row r="70" spans="1:10" ht="14.1" customHeight="1">
      <c r="A70" s="14">
        <f t="shared" si="0"/>
        <v>66</v>
      </c>
      <c r="B70" s="153" t="s">
        <v>2129</v>
      </c>
      <c r="C70" s="154" t="s">
        <v>2120</v>
      </c>
      <c r="D70" s="155">
        <v>0.29599999999999999</v>
      </c>
      <c r="E70" s="152" t="s">
        <v>2134</v>
      </c>
    </row>
    <row r="71" spans="1:10" ht="14.1" customHeight="1">
      <c r="A71" s="14">
        <f t="shared" si="0"/>
        <v>67</v>
      </c>
      <c r="B71" s="153" t="s">
        <v>2130</v>
      </c>
      <c r="C71" s="154" t="s">
        <v>2120</v>
      </c>
      <c r="D71" s="155">
        <v>0.27300000000000002</v>
      </c>
      <c r="E71" s="152" t="s">
        <v>2134</v>
      </c>
    </row>
    <row r="72" spans="1:10" ht="14.1" customHeight="1">
      <c r="A72" s="14">
        <f t="shared" si="0"/>
        <v>68</v>
      </c>
      <c r="B72" s="153" t="s">
        <v>2131</v>
      </c>
      <c r="C72" s="154" t="s">
        <v>2120</v>
      </c>
      <c r="D72" s="155">
        <v>0.255</v>
      </c>
      <c r="E72" s="152" t="s">
        <v>2134</v>
      </c>
    </row>
    <row r="73" spans="1:10" ht="14.1" customHeight="1">
      <c r="A73" s="14">
        <f t="shared" si="0"/>
        <v>69</v>
      </c>
      <c r="B73" s="153" t="s">
        <v>2132</v>
      </c>
      <c r="C73" s="154" t="s">
        <v>2120</v>
      </c>
      <c r="D73" s="155">
        <v>0.23899999999999999</v>
      </c>
      <c r="E73" s="152" t="s">
        <v>2134</v>
      </c>
    </row>
    <row r="74" spans="1:10" ht="14.1" customHeight="1">
      <c r="A74" s="14">
        <f t="shared" si="0"/>
        <v>70</v>
      </c>
      <c r="B74" s="153" t="s">
        <v>2133</v>
      </c>
      <c r="C74" s="154" t="s">
        <v>2120</v>
      </c>
      <c r="D74" s="155">
        <v>0.22700000000000001</v>
      </c>
      <c r="E74" s="152" t="s">
        <v>2134</v>
      </c>
    </row>
    <row r="75" spans="1:10" ht="14.1" customHeight="1">
      <c r="A75" s="14">
        <f t="shared" si="0"/>
        <v>71</v>
      </c>
      <c r="B75" s="15" t="s">
        <v>86</v>
      </c>
      <c r="C75" s="16" t="s">
        <v>59</v>
      </c>
      <c r="D75" s="16">
        <v>0.66</v>
      </c>
    </row>
    <row r="76" spans="1:10" ht="14.1" customHeight="1">
      <c r="A76" s="14">
        <f t="shared" si="0"/>
        <v>72</v>
      </c>
      <c r="B76" s="15" t="s">
        <v>87</v>
      </c>
      <c r="C76" s="16" t="s">
        <v>59</v>
      </c>
      <c r="D76" s="16">
        <v>0.62</v>
      </c>
    </row>
    <row r="77" spans="1:10" ht="14.1" customHeight="1">
      <c r="A77" s="14">
        <f t="shared" si="0"/>
        <v>73</v>
      </c>
      <c r="B77" s="15" t="s">
        <v>88</v>
      </c>
      <c r="C77" s="16" t="s">
        <v>59</v>
      </c>
      <c r="D77" s="16">
        <v>0.51</v>
      </c>
    </row>
    <row r="78" spans="1:10" ht="14.1" customHeight="1">
      <c r="A78" s="14">
        <f t="shared" si="0"/>
        <v>74</v>
      </c>
      <c r="B78" s="15" t="s">
        <v>89</v>
      </c>
      <c r="C78" s="16" t="s">
        <v>59</v>
      </c>
      <c r="D78" s="16">
        <v>0.78</v>
      </c>
    </row>
    <row r="79" spans="1:10" ht="36.75" customHeight="1">
      <c r="A79" s="14">
        <f t="shared" si="0"/>
        <v>75</v>
      </c>
      <c r="B79" s="101" t="str">
        <f>'Flat-Vaulted Ceilings'!$B$339</f>
        <v xml:space="preserve">== Custom Entries per WSEC R402.1.5 U-factor Reference and Calculations ========  </v>
      </c>
      <c r="E79" s="439" t="s">
        <v>2353</v>
      </c>
      <c r="F79" s="1057"/>
      <c r="I79" s="163" t="s">
        <v>3090</v>
      </c>
    </row>
    <row r="80" spans="1:10" ht="14.1" customHeight="1">
      <c r="A80" s="14">
        <f t="shared" si="0"/>
        <v>76</v>
      </c>
      <c r="B80" s="39" t="str">
        <f>K81</f>
        <v>R-15 fully insulated unheated (est from ASHRAE 90.1/Baylon &amp; Kennedy(2007) fit</v>
      </c>
      <c r="C80" s="16" t="s">
        <v>1679</v>
      </c>
      <c r="D80" s="19">
        <f>J81</f>
        <v>0.29467805199000019</v>
      </c>
      <c r="E80" s="446" t="s">
        <v>2357</v>
      </c>
      <c r="F80" s="203" t="str">
        <f t="shared" ref="F80:F91" si="1">IF(AND(B81&lt;&gt;"",B80=""),"Don't skip lines",IF(AND(D80="",B80&lt;&gt;""),"Enter U-value",IF(AND(D80&lt;&gt;"",B80=""),"Enter Description","")))</f>
        <v/>
      </c>
      <c r="I80" s="444" t="s">
        <v>2355</v>
      </c>
      <c r="J80" s="444" t="s">
        <v>2356</v>
      </c>
    </row>
    <row r="81" spans="1:18" ht="14.1" customHeight="1">
      <c r="A81" s="14">
        <f t="shared" si="0"/>
        <v>77</v>
      </c>
      <c r="B81" s="18" t="s">
        <v>2555</v>
      </c>
      <c r="C81" s="16" t="s">
        <v>1679</v>
      </c>
      <c r="D81" s="19">
        <v>0.40376168090312503</v>
      </c>
      <c r="E81" s="446" t="s">
        <v>2357</v>
      </c>
      <c r="F81" s="203" t="str">
        <f t="shared" si="1"/>
        <v/>
      </c>
      <c r="H81" s="1017" t="s">
        <v>3088</v>
      </c>
      <c r="I81" s="1018">
        <v>15</v>
      </c>
      <c r="J81" s="1019">
        <f xml:space="preserve"> -0.000000013453*I81^ 5 + 0.000002212251*I81^4 - 0.000138923855*I81^3 + 0.004230815068*I81^2 - 0.067716536027*I81 + 0.72558137772</f>
        <v>0.29467805199000019</v>
      </c>
      <c r="K81" s="1021" t="str">
        <f>IF(I81="","-",CONCATENATE("R-",ROUND(I81,2)," fully insulated unheated (est from ASHRAE 90.1/Baylon &amp; Kennedy(2007) fit"))</f>
        <v>R-15 fully insulated unheated (est from ASHRAE 90.1/Baylon &amp; Kennedy(2007) fit</v>
      </c>
      <c r="L81" s="1021"/>
      <c r="M81" s="1021"/>
      <c r="N81" s="1021"/>
      <c r="O81" s="1021"/>
      <c r="P81" s="1021"/>
      <c r="Q81" s="1021"/>
      <c r="R81" s="1021"/>
    </row>
    <row r="82" spans="1:18" ht="14.1" customHeight="1">
      <c r="A82" s="14">
        <f t="shared" si="0"/>
        <v>78</v>
      </c>
      <c r="B82" s="18"/>
      <c r="C82" s="16" t="s">
        <v>1679</v>
      </c>
      <c r="D82" s="19"/>
      <c r="E82" s="447"/>
      <c r="F82" s="203" t="str">
        <f t="shared" si="1"/>
        <v/>
      </c>
      <c r="H82" s="1017" t="s">
        <v>3089</v>
      </c>
      <c r="I82" s="1018">
        <v>20</v>
      </c>
      <c r="J82" s="1020">
        <f xml:space="preserve"> 0.000000001436 * I82^ 6 - 0.000000270926* I82^5 + 0.000020204643* I82^4 - 0.000761958487* I82^3 + 0.01558421065* I82^2 - 0.178004711492* I82 + 1.34614970999</f>
        <v>0.3817555241499988</v>
      </c>
      <c r="K82" s="1021" t="str">
        <f>IF(I82="","-",CONCATENATE("R-",ROUND(I82,2)," fully insulated heated (est from ASHRAE 90.1/Baylon &amp; Kennedy(2007) fit"))</f>
        <v>R-20 fully insulated heated (est from ASHRAE 90.1/Baylon &amp; Kennedy(2007) fit</v>
      </c>
      <c r="L82" s="1021"/>
      <c r="M82" s="1021"/>
      <c r="N82" s="1021"/>
      <c r="O82" s="1021"/>
      <c r="P82" s="1021"/>
      <c r="Q82" s="1021"/>
      <c r="R82" s="1021"/>
    </row>
    <row r="83" spans="1:18" ht="14.1" customHeight="1">
      <c r="A83" s="14">
        <f t="shared" si="0"/>
        <v>79</v>
      </c>
      <c r="B83" s="18"/>
      <c r="C83" s="16" t="s">
        <v>1679</v>
      </c>
      <c r="D83" s="19"/>
      <c r="E83" s="447"/>
      <c r="F83" s="203" t="str">
        <f t="shared" si="1"/>
        <v/>
      </c>
      <c r="I83" s="448"/>
    </row>
    <row r="84" spans="1:18" ht="14.1" customHeight="1">
      <c r="A84" s="14">
        <f t="shared" si="0"/>
        <v>80</v>
      </c>
      <c r="B84" s="18"/>
      <c r="C84" s="16" t="s">
        <v>1679</v>
      </c>
      <c r="D84" s="19"/>
      <c r="E84" s="447"/>
      <c r="F84" s="203" t="str">
        <f t="shared" si="1"/>
        <v/>
      </c>
      <c r="I84" s="448"/>
    </row>
    <row r="85" spans="1:18" ht="14.1" customHeight="1">
      <c r="A85" s="14">
        <f t="shared" si="0"/>
        <v>81</v>
      </c>
      <c r="B85" s="18"/>
      <c r="C85" s="16" t="s">
        <v>1679</v>
      </c>
      <c r="D85" s="19"/>
      <c r="E85" s="447"/>
      <c r="F85" s="203" t="str">
        <f t="shared" si="1"/>
        <v/>
      </c>
      <c r="I85" s="448"/>
    </row>
    <row r="86" spans="1:18" ht="14.1" customHeight="1">
      <c r="A86" s="14">
        <f t="shared" si="0"/>
        <v>82</v>
      </c>
      <c r="B86" s="18"/>
      <c r="C86" s="16" t="s">
        <v>1679</v>
      </c>
      <c r="D86" s="19"/>
      <c r="E86" s="447"/>
      <c r="F86" s="203" t="str">
        <f t="shared" si="1"/>
        <v/>
      </c>
      <c r="I86" s="448"/>
    </row>
    <row r="87" spans="1:18" ht="14.1" customHeight="1">
      <c r="A87" s="14">
        <f t="shared" si="0"/>
        <v>83</v>
      </c>
      <c r="B87" s="18"/>
      <c r="C87" s="16" t="s">
        <v>1679</v>
      </c>
      <c r="D87" s="19"/>
      <c r="E87" s="447"/>
      <c r="F87" s="203" t="str">
        <f t="shared" si="1"/>
        <v/>
      </c>
      <c r="I87" s="448"/>
    </row>
    <row r="88" spans="1:18" ht="14.1" customHeight="1">
      <c r="A88" s="14">
        <f t="shared" si="0"/>
        <v>84</v>
      </c>
      <c r="B88" s="18"/>
      <c r="C88" s="16" t="s">
        <v>1679</v>
      </c>
      <c r="D88" s="19"/>
      <c r="E88" s="447"/>
      <c r="F88" s="203" t="str">
        <f t="shared" si="1"/>
        <v/>
      </c>
      <c r="I88" s="448"/>
    </row>
    <row r="89" spans="1:18" ht="14.1" customHeight="1">
      <c r="A89" s="14">
        <f t="shared" si="0"/>
        <v>85</v>
      </c>
      <c r="B89" s="18"/>
      <c r="C89" s="16" t="s">
        <v>1679</v>
      </c>
      <c r="D89" s="19"/>
      <c r="E89" s="447"/>
      <c r="F89" s="203" t="str">
        <f t="shared" si="1"/>
        <v/>
      </c>
      <c r="I89" s="448"/>
    </row>
    <row r="90" spans="1:18" ht="14.1" customHeight="1">
      <c r="A90" s="14">
        <f t="shared" si="0"/>
        <v>86</v>
      </c>
      <c r="B90" s="18"/>
      <c r="C90" s="16" t="s">
        <v>1679</v>
      </c>
      <c r="D90" s="19"/>
      <c r="E90" s="447"/>
      <c r="F90" s="203" t="str">
        <f t="shared" si="1"/>
        <v/>
      </c>
      <c r="I90" s="448"/>
    </row>
    <row r="91" spans="1:18" ht="14.1" customHeight="1">
      <c r="A91" s="14">
        <f t="shared" si="0"/>
        <v>87</v>
      </c>
      <c r="B91" s="18"/>
      <c r="C91" s="16" t="s">
        <v>1679</v>
      </c>
      <c r="D91" s="19"/>
      <c r="E91" s="447"/>
      <c r="F91" s="203" t="str">
        <f t="shared" si="1"/>
        <v/>
      </c>
      <c r="I91" s="448"/>
    </row>
    <row r="92" spans="1:18" ht="14.1" customHeight="1">
      <c r="A92" s="15"/>
      <c r="C92" s="15"/>
      <c r="D92" s="15"/>
    </row>
    <row r="93" spans="1:18" ht="14.1" customHeight="1">
      <c r="A93" s="15"/>
      <c r="C93" s="15"/>
      <c r="D93" s="15"/>
    </row>
    <row r="94" spans="1:18" ht="14.1" customHeight="1">
      <c r="A94" s="15"/>
      <c r="C94" s="15"/>
      <c r="D94" s="15"/>
    </row>
    <row r="95" spans="1:18" ht="14.1" customHeight="1">
      <c r="A95" s="15"/>
      <c r="C95" s="15"/>
      <c r="D95" s="15"/>
    </row>
    <row r="96" spans="1:18" ht="14.1" customHeight="1">
      <c r="A96" s="15"/>
      <c r="C96" s="15"/>
      <c r="D96" s="15"/>
    </row>
    <row r="97" spans="1:11" ht="14.1" customHeight="1">
      <c r="A97" s="15"/>
      <c r="C97" s="15"/>
      <c r="D97" s="15"/>
    </row>
    <row r="98" spans="1:11" ht="14.1" customHeight="1">
      <c r="A98" s="15"/>
      <c r="C98" s="15"/>
      <c r="D98" s="15"/>
    </row>
    <row r="99" spans="1:11" ht="14.1" customHeight="1">
      <c r="A99" s="15"/>
      <c r="C99" s="15"/>
      <c r="D99" s="15"/>
    </row>
    <row r="100" spans="1:11" ht="14.1" customHeight="1">
      <c r="A100" s="15"/>
      <c r="C100" s="15"/>
      <c r="D100" s="15"/>
    </row>
    <row r="101" spans="1:11" ht="14.1" customHeight="1">
      <c r="A101" s="15"/>
      <c r="C101" s="15"/>
      <c r="D101" s="15"/>
    </row>
    <row r="102" spans="1:11" ht="14.1" customHeight="1">
      <c r="A102" s="15"/>
      <c r="C102" s="15"/>
      <c r="D102" s="15"/>
    </row>
    <row r="103" spans="1:11" ht="14.1" customHeight="1">
      <c r="A103" s="15"/>
      <c r="C103" s="15"/>
      <c r="D103" s="15"/>
    </row>
    <row r="104" spans="1:11" ht="14.1" customHeight="1">
      <c r="A104" s="15"/>
      <c r="C104" s="15"/>
      <c r="D104" s="15"/>
    </row>
    <row r="105" spans="1:11" ht="14.1" customHeight="1">
      <c r="A105" s="15"/>
      <c r="C105" s="15"/>
      <c r="D105" s="15"/>
    </row>
    <row r="106" spans="1:11" ht="14.1" customHeight="1">
      <c r="A106" s="15"/>
      <c r="C106" s="15"/>
      <c r="D106" s="15"/>
    </row>
    <row r="107" spans="1:11" ht="14.1" customHeight="1">
      <c r="A107" s="15"/>
      <c r="C107" s="15"/>
      <c r="D107" s="15"/>
    </row>
    <row r="108" spans="1:11" ht="14.1" customHeight="1">
      <c r="A108" s="15"/>
      <c r="C108" s="15"/>
      <c r="D108" s="15"/>
    </row>
    <row r="109" spans="1:11" ht="14.1" customHeight="1">
      <c r="A109" s="15"/>
      <c r="C109" s="15"/>
      <c r="D109" s="15"/>
      <c r="I109" s="77" t="s">
        <v>2550</v>
      </c>
    </row>
    <row r="110" spans="1:11" ht="14.1" customHeight="1">
      <c r="A110" s="15"/>
      <c r="C110" s="15"/>
      <c r="D110" s="15"/>
      <c r="I110" s="77" t="s">
        <v>2552</v>
      </c>
    </row>
    <row r="111" spans="1:11" ht="14.1" customHeight="1">
      <c r="A111" s="15"/>
      <c r="C111" s="15"/>
      <c r="D111" s="15"/>
      <c r="I111" s="151" t="s">
        <v>2742</v>
      </c>
      <c r="J111" s="603" t="s">
        <v>3084</v>
      </c>
    </row>
    <row r="112" spans="1:11" ht="14.1" customHeight="1">
      <c r="A112" s="15"/>
      <c r="C112" s="15"/>
      <c r="D112" s="15"/>
      <c r="I112" s="77" t="s">
        <v>3085</v>
      </c>
      <c r="K112" s="603" t="s">
        <v>2551</v>
      </c>
    </row>
    <row r="113" spans="1:13" ht="14.1" customHeight="1">
      <c r="A113" s="15"/>
      <c r="C113" s="15"/>
      <c r="D113" s="15"/>
      <c r="I113" s="77" t="s">
        <v>2554</v>
      </c>
    </row>
    <row r="114" spans="1:13" ht="14.1" customHeight="1">
      <c r="A114" s="15"/>
      <c r="C114" s="15"/>
      <c r="D114" s="15"/>
      <c r="I114" s="603" t="s">
        <v>2553</v>
      </c>
    </row>
    <row r="115" spans="1:13" ht="14.1" customHeight="1">
      <c r="A115" s="15"/>
      <c r="C115" s="15"/>
      <c r="D115" s="15"/>
      <c r="I115" s="77" t="s">
        <v>3086</v>
      </c>
      <c r="K115" s="603" t="s">
        <v>3087</v>
      </c>
    </row>
    <row r="116" spans="1:13" ht="14.1" customHeight="1">
      <c r="A116" s="15"/>
      <c r="C116" s="15"/>
      <c r="D116" s="15"/>
      <c r="I116" s="77" t="s">
        <v>3068</v>
      </c>
    </row>
    <row r="117" spans="1:13" ht="14.1" customHeight="1">
      <c r="A117" s="15"/>
      <c r="C117" s="15"/>
      <c r="D117" s="15"/>
    </row>
    <row r="118" spans="1:13" ht="14.1" customHeight="1">
      <c r="A118" s="15"/>
      <c r="C118" s="15"/>
      <c r="D118" s="15"/>
      <c r="I118" s="1022"/>
      <c r="J118" s="1229" t="s">
        <v>3091</v>
      </c>
      <c r="K118" s="1229"/>
      <c r="L118" s="1229" t="s">
        <v>3092</v>
      </c>
      <c r="M118" s="1229"/>
    </row>
    <row r="119" spans="1:13" ht="14.1" customHeight="1">
      <c r="A119" s="15"/>
      <c r="C119" s="15"/>
      <c r="D119" s="15"/>
      <c r="I119" s="1023" t="s">
        <v>3093</v>
      </c>
      <c r="J119" s="1023" t="s">
        <v>3094</v>
      </c>
      <c r="K119" s="1023" t="s">
        <v>3095</v>
      </c>
      <c r="L119" s="1023" t="s">
        <v>3094</v>
      </c>
      <c r="M119" s="1023" t="s">
        <v>3095</v>
      </c>
    </row>
    <row r="120" spans="1:13" ht="14.1" customHeight="1">
      <c r="A120" s="15"/>
      <c r="C120" s="15"/>
      <c r="D120" s="15"/>
      <c r="I120" s="1024">
        <v>0</v>
      </c>
      <c r="J120" s="653">
        <v>0.73</v>
      </c>
      <c r="K120" s="669">
        <v>1.35</v>
      </c>
      <c r="L120" s="669">
        <f xml:space="preserve"> -0.000000013453*I120^ 5 + 0.000002212251*I120^4 - 0.000138923855*I120^3 + 0.004230815068*I120^2 - 0.067716536027*I120 + 0.72558137772</f>
        <v>0.72558137771999998</v>
      </c>
      <c r="M120" s="669">
        <f xml:space="preserve"> 0.000000001436 * I120^ 6 - 0.000000270926* I120^5 + 0.000020204643* I120^4 - 0.000761958487* I120^3 + 0.01558421065* I120^2 - 0.178004711492* I120 + 1.34614970999</f>
        <v>1.3461497099899999</v>
      </c>
    </row>
    <row r="121" spans="1:13" ht="14.1" customHeight="1">
      <c r="A121" s="15"/>
      <c r="C121" s="15"/>
      <c r="D121" s="15"/>
      <c r="I121" s="1024">
        <v>5</v>
      </c>
      <c r="J121" s="653">
        <v>0.46</v>
      </c>
      <c r="K121" s="669">
        <v>0.74</v>
      </c>
      <c r="L121" s="669">
        <f t="shared" ref="L121:L132" si="2" xml:space="preserve"> -0.000000013453*I121^ 5 + 0.000002212251*I121^4 - 0.000138923855*I121^3 + 0.004230815068*I121^2 - 0.067716536027*I121 + 0.72558137772</f>
        <v>0.47674420866</v>
      </c>
      <c r="M121" s="669">
        <f t="shared" ref="M121:M132" si="3" xml:space="preserve"> 0.000000001436 * I121^ 6 - 0.000000270926* I121^5 + 0.000020204643* I121^4 - 0.000761958487* I121^3 + 0.01558421065* I121^2 - 0.178004711492* I121 + 1.34614970999</f>
        <v>0.76229030352999982</v>
      </c>
    </row>
    <row r="122" spans="1:13" ht="14.1" customHeight="1">
      <c r="A122" s="15"/>
      <c r="C122" s="15"/>
      <c r="D122" s="15"/>
      <c r="I122" s="1024">
        <v>7.5</v>
      </c>
      <c r="J122" s="653">
        <v>0.41</v>
      </c>
      <c r="K122" s="669">
        <v>0.64</v>
      </c>
      <c r="L122" s="669">
        <f t="shared" si="2"/>
        <v>0.4037626581979688</v>
      </c>
      <c r="M122" s="669">
        <f t="shared" si="3"/>
        <v>0.62403011557343746</v>
      </c>
    </row>
    <row r="123" spans="1:13" ht="14.1" customHeight="1">
      <c r="A123" s="15"/>
      <c r="C123" s="15"/>
      <c r="D123" s="15"/>
      <c r="I123" s="1024">
        <v>10</v>
      </c>
      <c r="J123" s="653">
        <v>0.36</v>
      </c>
      <c r="K123" s="669">
        <v>0.55000000000000004</v>
      </c>
      <c r="L123" s="669">
        <f t="shared" si="2"/>
        <v>0.35335087925000003</v>
      </c>
      <c r="M123" s="669">
        <f t="shared" si="3"/>
        <v>0.53895500306999966</v>
      </c>
    </row>
    <row r="124" spans="1:13" ht="14.1" customHeight="1">
      <c r="A124" s="15"/>
      <c r="C124" s="15"/>
      <c r="D124" s="15"/>
      <c r="I124" s="1024">
        <v>15</v>
      </c>
      <c r="J124" s="653">
        <v>0.3</v>
      </c>
      <c r="K124" s="669">
        <v>0.44</v>
      </c>
      <c r="L124" s="669">
        <f t="shared" si="2"/>
        <v>0.29467805199000019</v>
      </c>
      <c r="M124" s="669">
        <f t="shared" si="3"/>
        <v>0.44439909836000013</v>
      </c>
    </row>
    <row r="125" spans="1:13" ht="14.1" customHeight="1">
      <c r="A125" s="15"/>
      <c r="C125" s="15"/>
      <c r="D125" s="15"/>
      <c r="I125" s="1024">
        <v>20</v>
      </c>
      <c r="J125" s="653">
        <v>0.26100000000000001</v>
      </c>
      <c r="K125" s="669">
        <v>0.373</v>
      </c>
      <c r="L125" s="669">
        <f t="shared" si="2"/>
        <v>0.26309640438000015</v>
      </c>
      <c r="M125" s="669">
        <f t="shared" si="3"/>
        <v>0.3817555241499988</v>
      </c>
    </row>
    <row r="126" spans="1:13" ht="14.1" customHeight="1">
      <c r="A126" s="15"/>
      <c r="C126" s="15"/>
      <c r="D126" s="15"/>
      <c r="I126" s="1024">
        <v>25</v>
      </c>
      <c r="J126" s="653">
        <v>0.23300000000000001</v>
      </c>
      <c r="K126" s="669">
        <v>0.32600000000000001</v>
      </c>
      <c r="L126" s="669">
        <f t="shared" si="2"/>
        <v>0.23902575392000047</v>
      </c>
      <c r="M126" s="669">
        <f t="shared" si="3"/>
        <v>0.32782511019000027</v>
      </c>
    </row>
    <row r="127" spans="1:13" ht="14.1" customHeight="1">
      <c r="A127" s="15"/>
      <c r="C127" s="15"/>
      <c r="D127" s="15"/>
      <c r="I127" s="1024">
        <v>30</v>
      </c>
      <c r="J127" s="653">
        <v>0.21299999999999999</v>
      </c>
      <c r="K127" s="669">
        <v>0.29599999999999999</v>
      </c>
      <c r="L127" s="669">
        <f t="shared" si="2"/>
        <v>0.21589018311000063</v>
      </c>
      <c r="M127" s="669">
        <f t="shared" si="3"/>
        <v>0.28802183123000025</v>
      </c>
    </row>
    <row r="128" spans="1:13" ht="14.1" customHeight="1">
      <c r="A128" s="15"/>
      <c r="C128" s="15"/>
      <c r="D128" s="15"/>
      <c r="I128" s="1024">
        <v>35</v>
      </c>
      <c r="J128" s="653">
        <v>0.19800000000000001</v>
      </c>
      <c r="K128" s="669">
        <v>0.27300000000000002</v>
      </c>
      <c r="L128" s="669">
        <f t="shared" si="2"/>
        <v>0.19507316445000078</v>
      </c>
      <c r="M128" s="669">
        <f t="shared" si="3"/>
        <v>0.26747305702000035</v>
      </c>
    </row>
    <row r="129" spans="1:13" ht="14.1" customHeight="1">
      <c r="A129" s="15"/>
      <c r="C129" s="15"/>
      <c r="D129" s="15"/>
      <c r="I129" s="1024">
        <v>40</v>
      </c>
      <c r="J129" s="653">
        <v>0.186</v>
      </c>
      <c r="K129" s="669">
        <v>0.255</v>
      </c>
      <c r="L129" s="669">
        <f t="shared" si="2"/>
        <v>0.18087268544000179</v>
      </c>
      <c r="M129" s="669">
        <f t="shared" si="3"/>
        <v>0.25827480230999389</v>
      </c>
    </row>
    <row r="130" spans="1:13" ht="14.1" customHeight="1">
      <c r="A130" s="15"/>
      <c r="C130" s="15"/>
      <c r="D130" s="15"/>
      <c r="I130" s="1024">
        <v>45</v>
      </c>
      <c r="J130" s="653">
        <v>0.17599999999999999</v>
      </c>
      <c r="K130" s="669">
        <v>0.23899999999999999</v>
      </c>
      <c r="L130" s="669">
        <f t="shared" si="2"/>
        <v>0.17545637358000188</v>
      </c>
      <c r="M130" s="669">
        <f t="shared" si="3"/>
        <v>0.24290197685000359</v>
      </c>
    </row>
    <row r="131" spans="1:13" ht="14.1" customHeight="1">
      <c r="A131" s="15"/>
      <c r="C131" s="15"/>
      <c r="D131" s="15"/>
      <c r="I131" s="1024">
        <v>50</v>
      </c>
      <c r="J131" s="653">
        <v>0.16800000000000001</v>
      </c>
      <c r="K131" s="669">
        <v>0.22700000000000001</v>
      </c>
      <c r="L131" s="669">
        <f t="shared" si="2"/>
        <v>0.17381662137000187</v>
      </c>
      <c r="M131" s="669">
        <f t="shared" si="3"/>
        <v>0.21377363539000016</v>
      </c>
    </row>
    <row r="132" spans="1:13" ht="14.1" customHeight="1">
      <c r="A132" s="15"/>
      <c r="C132" s="15"/>
      <c r="D132" s="15"/>
      <c r="I132" s="1024">
        <v>55</v>
      </c>
      <c r="J132" s="653">
        <v>0.161</v>
      </c>
      <c r="K132" s="669">
        <v>0.217</v>
      </c>
      <c r="L132" s="669">
        <f t="shared" si="2"/>
        <v>0.15872571131000535</v>
      </c>
      <c r="M132" s="669">
        <f t="shared" si="3"/>
        <v>0.20897322768000337</v>
      </c>
    </row>
    <row r="133" spans="1:13" ht="14.1" customHeight="1">
      <c r="A133" s="15"/>
      <c r="C133" s="15"/>
      <c r="D133" s="15"/>
    </row>
    <row r="134" spans="1:13" ht="14.1" customHeight="1">
      <c r="A134" s="15"/>
      <c r="C134" s="15"/>
      <c r="D134" s="15"/>
    </row>
    <row r="135" spans="1:13" ht="14.1" customHeight="1">
      <c r="A135" s="15"/>
      <c r="C135" s="15"/>
      <c r="D135" s="15"/>
    </row>
    <row r="136" spans="1:13" ht="14.1" customHeight="1">
      <c r="A136" s="15"/>
      <c r="C136" s="15"/>
      <c r="D136" s="15"/>
    </row>
    <row r="137" spans="1:13" ht="14.1" customHeight="1">
      <c r="A137" s="15"/>
      <c r="C137" s="15"/>
      <c r="D137" s="15"/>
    </row>
    <row r="138" spans="1:13" ht="14.1" customHeight="1">
      <c r="A138" s="15"/>
      <c r="C138" s="15"/>
      <c r="D138" s="15"/>
    </row>
    <row r="139" spans="1:13" ht="14.1" customHeight="1">
      <c r="A139" s="15"/>
      <c r="C139" s="15"/>
      <c r="D139" s="15"/>
    </row>
    <row r="140" spans="1:13" ht="14.1" customHeight="1">
      <c r="A140" s="15"/>
      <c r="C140" s="15"/>
      <c r="D140" s="15"/>
    </row>
    <row r="141" spans="1:13" ht="14.1" customHeight="1">
      <c r="A141" s="15"/>
      <c r="C141" s="15"/>
      <c r="D141" s="15"/>
    </row>
    <row r="142" spans="1:13" ht="14.1" customHeight="1">
      <c r="A142" s="15"/>
      <c r="C142" s="15"/>
      <c r="D142" s="15"/>
    </row>
    <row r="143" spans="1:13" ht="14.1" customHeight="1">
      <c r="A143" s="15"/>
      <c r="C143" s="15"/>
      <c r="D143" s="15"/>
    </row>
    <row r="144" spans="1:13" ht="14.1" customHeight="1">
      <c r="A144" s="15"/>
      <c r="C144" s="15"/>
      <c r="D144" s="15"/>
    </row>
    <row r="145" spans="1:4" ht="14.1" customHeight="1">
      <c r="A145" s="15"/>
      <c r="C145" s="15"/>
      <c r="D145" s="15"/>
    </row>
    <row r="146" spans="1:4" ht="14.1" customHeight="1">
      <c r="A146" s="15"/>
      <c r="C146" s="15"/>
      <c r="D146" s="15"/>
    </row>
    <row r="147" spans="1:4" ht="14.1" customHeight="1">
      <c r="A147" s="15"/>
      <c r="C147" s="15"/>
      <c r="D147" s="15"/>
    </row>
    <row r="148" spans="1:4" ht="14.1" customHeight="1">
      <c r="A148" s="15"/>
      <c r="C148" s="15"/>
      <c r="D148" s="15"/>
    </row>
    <row r="149" spans="1:4" ht="14.1" customHeight="1">
      <c r="A149" s="15"/>
      <c r="C149" s="15"/>
      <c r="D149" s="15"/>
    </row>
    <row r="150" spans="1:4" ht="14.1" customHeight="1">
      <c r="A150" s="15"/>
      <c r="C150" s="15"/>
      <c r="D150" s="15"/>
    </row>
    <row r="151" spans="1:4" ht="14.1" customHeight="1">
      <c r="A151" s="15"/>
      <c r="C151" s="15"/>
      <c r="D151" s="15"/>
    </row>
    <row r="152" spans="1:4" ht="14.1" customHeight="1">
      <c r="A152" s="15"/>
      <c r="C152" s="15"/>
      <c r="D152" s="15"/>
    </row>
    <row r="153" spans="1:4" ht="14.1" customHeight="1">
      <c r="A153" s="15"/>
      <c r="C153" s="15"/>
      <c r="D153" s="15"/>
    </row>
    <row r="154" spans="1:4" ht="14.1" customHeight="1">
      <c r="A154" s="15"/>
      <c r="C154" s="15"/>
      <c r="D154" s="15"/>
    </row>
    <row r="155" spans="1:4" ht="14.1" customHeight="1">
      <c r="A155" s="15"/>
      <c r="C155" s="15"/>
      <c r="D155" s="15"/>
    </row>
    <row r="156" spans="1:4" ht="14.1" customHeight="1">
      <c r="A156" s="15"/>
      <c r="C156" s="15"/>
      <c r="D156" s="15"/>
    </row>
    <row r="157" spans="1:4" ht="14.1" customHeight="1">
      <c r="A157" s="15"/>
      <c r="C157" s="15"/>
      <c r="D157" s="15"/>
    </row>
    <row r="158" spans="1:4" ht="14.1" customHeight="1">
      <c r="A158" s="15"/>
      <c r="C158" s="15"/>
      <c r="D158" s="15"/>
    </row>
    <row r="159" spans="1:4" ht="14.1" customHeight="1">
      <c r="A159" s="15"/>
      <c r="C159" s="15"/>
      <c r="D159" s="15"/>
    </row>
    <row r="160" spans="1:4" ht="14.1" customHeight="1">
      <c r="A160" s="15"/>
      <c r="C160" s="15"/>
      <c r="D160" s="15"/>
    </row>
    <row r="161" spans="1:4" ht="14.1" customHeight="1">
      <c r="A161" s="15"/>
      <c r="C161" s="15"/>
      <c r="D161" s="15"/>
    </row>
    <row r="162" spans="1:4" ht="14.1" customHeight="1">
      <c r="A162" s="15"/>
      <c r="C162" s="15"/>
      <c r="D162" s="15"/>
    </row>
    <row r="163" spans="1:4" ht="14.1" customHeight="1">
      <c r="A163" s="15"/>
      <c r="C163" s="15"/>
      <c r="D163" s="15"/>
    </row>
    <row r="164" spans="1:4" ht="14.1" customHeight="1">
      <c r="A164" s="15"/>
      <c r="C164" s="15"/>
      <c r="D164" s="15"/>
    </row>
    <row r="165" spans="1:4" ht="14.1" customHeight="1">
      <c r="A165" s="15"/>
      <c r="C165" s="15"/>
      <c r="D165" s="15"/>
    </row>
    <row r="166" spans="1:4" ht="14.1" customHeight="1">
      <c r="A166" s="15"/>
      <c r="C166" s="15"/>
      <c r="D166" s="15"/>
    </row>
    <row r="167" spans="1:4" ht="14.1" customHeight="1">
      <c r="A167" s="15"/>
      <c r="C167" s="15"/>
      <c r="D167" s="15"/>
    </row>
    <row r="168" spans="1:4" ht="14.1" customHeight="1">
      <c r="A168" s="15"/>
      <c r="C168" s="15"/>
      <c r="D168" s="15"/>
    </row>
    <row r="169" spans="1:4" ht="14.1" customHeight="1">
      <c r="A169" s="15"/>
      <c r="C169" s="15"/>
      <c r="D169" s="15"/>
    </row>
    <row r="170" spans="1:4" ht="14.1" customHeight="1">
      <c r="A170" s="15"/>
      <c r="C170" s="15"/>
      <c r="D170" s="15"/>
    </row>
    <row r="171" spans="1:4" ht="14.1" customHeight="1">
      <c r="A171" s="15"/>
      <c r="C171" s="15"/>
      <c r="D171" s="15"/>
    </row>
    <row r="172" spans="1:4" ht="14.1" customHeight="1">
      <c r="A172" s="15"/>
      <c r="C172" s="15"/>
      <c r="D172" s="15"/>
    </row>
    <row r="173" spans="1:4" ht="14.1" customHeight="1">
      <c r="A173" s="15"/>
      <c r="C173" s="15"/>
      <c r="D173" s="15"/>
    </row>
    <row r="174" spans="1:4" ht="14.1" customHeight="1">
      <c r="A174" s="15"/>
      <c r="C174" s="15"/>
      <c r="D174" s="15"/>
    </row>
    <row r="175" spans="1:4" ht="14.1" customHeight="1">
      <c r="A175" s="15"/>
      <c r="C175" s="15"/>
      <c r="D175" s="15"/>
    </row>
    <row r="176" spans="1:4" ht="14.1" customHeight="1">
      <c r="A176" s="15"/>
      <c r="C176" s="15"/>
      <c r="D176" s="15"/>
    </row>
    <row r="177" spans="1:4" ht="14.1" customHeight="1">
      <c r="A177" s="15"/>
      <c r="C177" s="15"/>
      <c r="D177" s="15"/>
    </row>
    <row r="178" spans="1:4" ht="14.1" customHeight="1">
      <c r="A178" s="15"/>
      <c r="C178" s="15"/>
      <c r="D178" s="15"/>
    </row>
    <row r="179" spans="1:4" ht="14.1" customHeight="1">
      <c r="A179" s="15"/>
      <c r="C179" s="15"/>
      <c r="D179" s="15"/>
    </row>
    <row r="180" spans="1:4" ht="14.1" customHeight="1">
      <c r="A180" s="15"/>
      <c r="C180" s="15"/>
      <c r="D180" s="15"/>
    </row>
    <row r="181" spans="1:4" ht="14.1" customHeight="1">
      <c r="A181" s="15"/>
      <c r="C181" s="15"/>
      <c r="D181" s="15"/>
    </row>
    <row r="182" spans="1:4" ht="14.1" customHeight="1">
      <c r="A182" s="15"/>
      <c r="C182" s="15"/>
      <c r="D182" s="15"/>
    </row>
    <row r="183" spans="1:4" ht="14.1" customHeight="1">
      <c r="A183" s="15"/>
      <c r="C183" s="15"/>
      <c r="D183" s="15"/>
    </row>
    <row r="184" spans="1:4" ht="14.1" customHeight="1">
      <c r="A184" s="15"/>
      <c r="C184" s="15"/>
      <c r="D184" s="15"/>
    </row>
    <row r="185" spans="1:4" ht="14.1" customHeight="1">
      <c r="A185" s="15"/>
      <c r="C185" s="15"/>
      <c r="D185" s="15"/>
    </row>
    <row r="186" spans="1:4" ht="14.1" customHeight="1">
      <c r="A186" s="15"/>
      <c r="C186" s="15"/>
      <c r="D186" s="15"/>
    </row>
    <row r="187" spans="1:4" ht="14.1" customHeight="1">
      <c r="A187" s="15"/>
      <c r="C187" s="15"/>
      <c r="D187" s="15"/>
    </row>
    <row r="188" spans="1:4" ht="14.1" customHeight="1">
      <c r="A188" s="15"/>
      <c r="C188" s="15"/>
      <c r="D188" s="15"/>
    </row>
    <row r="189" spans="1:4" ht="14.1" customHeight="1">
      <c r="A189" s="15"/>
      <c r="C189" s="15"/>
      <c r="D189" s="15"/>
    </row>
    <row r="190" spans="1:4" ht="14.1" customHeight="1">
      <c r="A190" s="15"/>
      <c r="C190" s="15"/>
      <c r="D190" s="15"/>
    </row>
    <row r="191" spans="1:4" ht="14.1" customHeight="1">
      <c r="A191" s="15"/>
      <c r="C191" s="15"/>
      <c r="D191" s="15"/>
    </row>
    <row r="192" spans="1:4" ht="14.1" customHeight="1">
      <c r="A192" s="15"/>
      <c r="C192" s="15"/>
      <c r="D192" s="15"/>
    </row>
    <row r="193" spans="1:4" ht="14.1" customHeight="1">
      <c r="A193" s="15"/>
      <c r="C193" s="15"/>
      <c r="D193" s="15"/>
    </row>
    <row r="194" spans="1:4" ht="14.1" customHeight="1">
      <c r="A194" s="15"/>
      <c r="C194" s="15"/>
      <c r="D194" s="15"/>
    </row>
    <row r="195" spans="1:4" ht="14.1" customHeight="1">
      <c r="A195" s="15"/>
      <c r="C195" s="15"/>
      <c r="D195" s="15"/>
    </row>
    <row r="196" spans="1:4" ht="14.1" customHeight="1">
      <c r="A196" s="15"/>
      <c r="C196" s="15"/>
      <c r="D196" s="15"/>
    </row>
    <row r="197" spans="1:4" ht="14.1" customHeight="1">
      <c r="A197" s="15"/>
      <c r="C197" s="15"/>
      <c r="D197" s="15"/>
    </row>
    <row r="198" spans="1:4" ht="14.1" customHeight="1">
      <c r="A198" s="15"/>
      <c r="C198" s="15"/>
      <c r="D198" s="15"/>
    </row>
    <row r="199" spans="1:4" ht="14.1" customHeight="1">
      <c r="A199" s="15"/>
      <c r="C199" s="15"/>
      <c r="D199" s="15"/>
    </row>
    <row r="200" spans="1:4" ht="14.1" customHeight="1">
      <c r="A200" s="15"/>
      <c r="C200" s="15"/>
      <c r="D200" s="15"/>
    </row>
    <row r="201" spans="1:4" ht="14.1" customHeight="1">
      <c r="A201" s="15"/>
      <c r="C201" s="15"/>
      <c r="D201" s="15"/>
    </row>
    <row r="202" spans="1:4" ht="14.1" customHeight="1">
      <c r="A202" s="15"/>
      <c r="C202" s="15"/>
      <c r="D202" s="15"/>
    </row>
    <row r="203" spans="1:4" ht="14.1" customHeight="1">
      <c r="A203" s="15"/>
      <c r="C203" s="15"/>
      <c r="D203" s="15"/>
    </row>
    <row r="204" spans="1:4" ht="14.1" customHeight="1">
      <c r="A204" s="15"/>
      <c r="C204" s="15"/>
      <c r="D204" s="15"/>
    </row>
    <row r="205" spans="1:4" ht="14.1" customHeight="1">
      <c r="A205" s="15"/>
      <c r="C205" s="15"/>
      <c r="D205" s="15"/>
    </row>
    <row r="206" spans="1:4" ht="14.1" customHeight="1">
      <c r="A206" s="15"/>
      <c r="C206" s="15"/>
      <c r="D206" s="15"/>
    </row>
    <row r="207" spans="1:4" ht="14.1" customHeight="1">
      <c r="A207" s="15"/>
      <c r="C207" s="15"/>
      <c r="D207" s="15"/>
    </row>
    <row r="208" spans="1:4" ht="14.1" customHeight="1">
      <c r="A208" s="15"/>
      <c r="C208" s="15"/>
      <c r="D208" s="15"/>
    </row>
    <row r="209" spans="1:4" ht="14.1" customHeight="1">
      <c r="A209" s="15"/>
      <c r="C209" s="15"/>
      <c r="D209" s="15"/>
    </row>
    <row r="210" spans="1:4" ht="14.1" customHeight="1">
      <c r="A210" s="15"/>
      <c r="C210" s="15"/>
      <c r="D210" s="15"/>
    </row>
    <row r="211" spans="1:4" ht="14.1" customHeight="1">
      <c r="A211" s="15"/>
      <c r="C211" s="15"/>
      <c r="D211" s="15"/>
    </row>
    <row r="212" spans="1:4" ht="14.1" customHeight="1">
      <c r="A212" s="15"/>
      <c r="C212" s="15"/>
      <c r="D212" s="15"/>
    </row>
    <row r="213" spans="1:4" ht="14.1" customHeight="1">
      <c r="A213" s="15"/>
      <c r="C213" s="15"/>
      <c r="D213" s="15"/>
    </row>
    <row r="214" spans="1:4" ht="14.1" customHeight="1">
      <c r="A214" s="15"/>
      <c r="C214" s="15"/>
      <c r="D214" s="15"/>
    </row>
    <row r="215" spans="1:4" ht="14.1" customHeight="1">
      <c r="A215" s="15"/>
      <c r="C215" s="15"/>
      <c r="D215" s="15"/>
    </row>
    <row r="216" spans="1:4" ht="14.1" customHeight="1">
      <c r="A216" s="15"/>
      <c r="C216" s="15"/>
      <c r="D216" s="15"/>
    </row>
    <row r="217" spans="1:4" ht="14.1" customHeight="1">
      <c r="A217" s="15"/>
      <c r="C217" s="15"/>
      <c r="D217" s="15"/>
    </row>
    <row r="218" spans="1:4" ht="14.1" customHeight="1">
      <c r="A218" s="15"/>
      <c r="C218" s="15"/>
      <c r="D218" s="15"/>
    </row>
    <row r="219" spans="1:4" ht="14.1" customHeight="1">
      <c r="A219" s="15"/>
      <c r="C219" s="15"/>
      <c r="D219" s="15"/>
    </row>
    <row r="220" spans="1:4" ht="14.1" customHeight="1">
      <c r="A220" s="15"/>
      <c r="C220" s="15"/>
      <c r="D220" s="15"/>
    </row>
    <row r="221" spans="1:4" ht="14.1" customHeight="1">
      <c r="A221" s="15"/>
      <c r="C221" s="15"/>
      <c r="D221" s="15"/>
    </row>
    <row r="222" spans="1:4" ht="14.1" customHeight="1">
      <c r="A222" s="15"/>
      <c r="C222" s="15"/>
      <c r="D222" s="15"/>
    </row>
    <row r="223" spans="1:4" ht="14.1" customHeight="1">
      <c r="A223" s="15"/>
      <c r="C223" s="15"/>
      <c r="D223" s="15"/>
    </row>
    <row r="224" spans="1:4" ht="14.1" customHeight="1">
      <c r="A224" s="15"/>
      <c r="C224" s="15"/>
      <c r="D224" s="15"/>
    </row>
    <row r="225" spans="1:4" ht="14.1" customHeight="1">
      <c r="A225" s="15"/>
      <c r="C225" s="15"/>
      <c r="D225" s="15"/>
    </row>
    <row r="226" spans="1:4" ht="14.1" customHeight="1">
      <c r="A226" s="15"/>
      <c r="C226" s="15"/>
      <c r="D226" s="15"/>
    </row>
    <row r="227" spans="1:4" ht="14.1" customHeight="1">
      <c r="A227" s="15"/>
      <c r="C227" s="15"/>
      <c r="D227" s="15"/>
    </row>
    <row r="228" spans="1:4" ht="14.1" customHeight="1">
      <c r="A228" s="15"/>
      <c r="C228" s="15"/>
      <c r="D228" s="15"/>
    </row>
    <row r="229" spans="1:4" ht="14.1" customHeight="1">
      <c r="A229" s="15"/>
      <c r="C229" s="15"/>
      <c r="D229" s="15"/>
    </row>
    <row r="230" spans="1:4" ht="14.1" customHeight="1">
      <c r="A230" s="15"/>
      <c r="C230" s="15"/>
      <c r="D230" s="15"/>
    </row>
    <row r="231" spans="1:4" ht="14.1" customHeight="1">
      <c r="A231" s="15"/>
      <c r="C231" s="15"/>
      <c r="D231" s="15"/>
    </row>
    <row r="232" spans="1:4" ht="14.1" customHeight="1">
      <c r="A232" s="15"/>
      <c r="C232" s="15"/>
      <c r="D232" s="15"/>
    </row>
    <row r="233" spans="1:4" ht="14.1" customHeight="1">
      <c r="A233" s="15"/>
      <c r="C233" s="15"/>
      <c r="D233" s="15"/>
    </row>
    <row r="234" spans="1:4" ht="14.1" customHeight="1">
      <c r="A234" s="15"/>
      <c r="C234" s="15"/>
      <c r="D234" s="15"/>
    </row>
    <row r="235" spans="1:4" ht="14.1" customHeight="1">
      <c r="A235" s="15"/>
      <c r="C235" s="15"/>
      <c r="D235" s="15"/>
    </row>
    <row r="236" spans="1:4" ht="14.1" customHeight="1">
      <c r="A236" s="15"/>
      <c r="C236" s="15"/>
      <c r="D236" s="15"/>
    </row>
    <row r="237" spans="1:4" ht="14.1" customHeight="1">
      <c r="A237" s="15"/>
      <c r="C237" s="15"/>
      <c r="D237" s="15"/>
    </row>
    <row r="238" spans="1:4" ht="14.1" customHeight="1">
      <c r="A238" s="15"/>
      <c r="C238" s="15"/>
      <c r="D238" s="15"/>
    </row>
    <row r="239" spans="1:4" ht="14.1" customHeight="1">
      <c r="A239" s="15"/>
      <c r="C239" s="15"/>
      <c r="D239" s="15"/>
    </row>
    <row r="240" spans="1:4" ht="14.1" customHeight="1">
      <c r="A240" s="15"/>
      <c r="C240" s="15"/>
      <c r="D240" s="15"/>
    </row>
    <row r="241" spans="1:4" ht="14.1" customHeight="1">
      <c r="A241" s="15"/>
      <c r="C241" s="15"/>
      <c r="D241" s="15"/>
    </row>
    <row r="242" spans="1:4" ht="14.1" customHeight="1">
      <c r="A242" s="15"/>
      <c r="C242" s="15"/>
      <c r="D242" s="15"/>
    </row>
    <row r="243" spans="1:4" ht="14.1" customHeight="1">
      <c r="A243" s="15"/>
      <c r="C243" s="15"/>
      <c r="D243" s="15"/>
    </row>
    <row r="244" spans="1:4" ht="14.1" customHeight="1">
      <c r="A244" s="15"/>
      <c r="C244" s="15"/>
      <c r="D244" s="15"/>
    </row>
    <row r="245" spans="1:4" ht="14.1" customHeight="1">
      <c r="A245" s="15"/>
      <c r="C245" s="15"/>
      <c r="D245" s="15"/>
    </row>
    <row r="246" spans="1:4" ht="14.1" customHeight="1">
      <c r="A246" s="15"/>
      <c r="C246" s="15"/>
      <c r="D246" s="15"/>
    </row>
    <row r="247" spans="1:4" ht="14.1" customHeight="1">
      <c r="A247" s="15"/>
      <c r="C247" s="15"/>
      <c r="D247" s="15"/>
    </row>
    <row r="248" spans="1:4" ht="14.1" customHeight="1">
      <c r="A248" s="15"/>
      <c r="C248" s="15"/>
      <c r="D248" s="15"/>
    </row>
    <row r="249" spans="1:4" ht="14.1" customHeight="1">
      <c r="A249" s="15"/>
      <c r="C249" s="15"/>
      <c r="D249" s="15"/>
    </row>
    <row r="250" spans="1:4" ht="14.1" customHeight="1">
      <c r="A250" s="15"/>
      <c r="C250" s="15"/>
      <c r="D250" s="15"/>
    </row>
    <row r="251" spans="1:4" ht="14.1" customHeight="1">
      <c r="A251" s="15"/>
      <c r="C251" s="15"/>
      <c r="D251" s="15"/>
    </row>
    <row r="252" spans="1:4" ht="14.1" customHeight="1">
      <c r="A252" s="15"/>
      <c r="C252" s="15"/>
      <c r="D252" s="15"/>
    </row>
    <row r="253" spans="1:4" ht="14.1" customHeight="1">
      <c r="A253" s="15"/>
      <c r="C253" s="15"/>
      <c r="D253" s="15"/>
    </row>
    <row r="254" spans="1:4" ht="14.1" customHeight="1">
      <c r="A254" s="15"/>
      <c r="C254" s="15"/>
      <c r="D254" s="15"/>
    </row>
    <row r="255" spans="1:4" ht="14.1" customHeight="1">
      <c r="A255" s="15"/>
      <c r="C255" s="15"/>
      <c r="D255" s="15"/>
    </row>
    <row r="256" spans="1:4" ht="14.1" customHeight="1">
      <c r="A256" s="15"/>
      <c r="C256" s="15"/>
      <c r="D256" s="15"/>
    </row>
    <row r="257" spans="1:4" ht="14.1" customHeight="1">
      <c r="A257" s="15"/>
      <c r="C257" s="15"/>
      <c r="D257" s="15"/>
    </row>
    <row r="258" spans="1:4" ht="14.1" customHeight="1">
      <c r="A258" s="15"/>
      <c r="C258" s="15"/>
      <c r="D258" s="15"/>
    </row>
    <row r="259" spans="1:4" ht="14.1" customHeight="1">
      <c r="A259" s="15"/>
      <c r="C259" s="15"/>
      <c r="D259" s="15"/>
    </row>
    <row r="260" spans="1:4" ht="14.1" customHeight="1">
      <c r="A260" s="15"/>
      <c r="C260" s="15"/>
      <c r="D260" s="15"/>
    </row>
    <row r="261" spans="1:4" ht="14.1" customHeight="1">
      <c r="A261" s="15"/>
      <c r="C261" s="15"/>
      <c r="D261" s="15"/>
    </row>
    <row r="262" spans="1:4" ht="14.1" customHeight="1">
      <c r="A262" s="15"/>
      <c r="C262" s="15"/>
      <c r="D262" s="15"/>
    </row>
    <row r="263" spans="1:4" ht="14.1" customHeight="1">
      <c r="A263" s="15"/>
      <c r="C263" s="15"/>
      <c r="D263" s="15"/>
    </row>
    <row r="264" spans="1:4" ht="14.1" customHeight="1">
      <c r="A264" s="15"/>
      <c r="C264" s="15"/>
      <c r="D264" s="15"/>
    </row>
    <row r="265" spans="1:4" ht="14.1" customHeight="1">
      <c r="A265" s="15"/>
      <c r="C265" s="15"/>
      <c r="D265" s="15"/>
    </row>
    <row r="266" spans="1:4" ht="14.1" customHeight="1">
      <c r="A266" s="15"/>
      <c r="C266" s="15"/>
      <c r="D266" s="15"/>
    </row>
    <row r="267" spans="1:4" ht="14.1" customHeight="1">
      <c r="A267" s="15"/>
      <c r="C267" s="15"/>
      <c r="D267" s="15"/>
    </row>
    <row r="268" spans="1:4" ht="14.1" customHeight="1">
      <c r="A268" s="15"/>
      <c r="C268" s="15"/>
      <c r="D268" s="15"/>
    </row>
    <row r="269" spans="1:4" ht="14.1" customHeight="1">
      <c r="A269" s="15"/>
      <c r="C269" s="15"/>
      <c r="D269" s="15"/>
    </row>
    <row r="270" spans="1:4" ht="14.1" customHeight="1">
      <c r="A270" s="15"/>
      <c r="C270" s="15"/>
      <c r="D270" s="15"/>
    </row>
    <row r="271" spans="1:4" ht="14.1" customHeight="1">
      <c r="A271" s="15"/>
      <c r="C271" s="15"/>
      <c r="D271" s="15"/>
    </row>
    <row r="272" spans="1:4" ht="14.1" customHeight="1">
      <c r="A272" s="15"/>
      <c r="C272" s="15"/>
      <c r="D272" s="15"/>
    </row>
    <row r="273" spans="1:4" ht="14.1" customHeight="1">
      <c r="A273" s="15"/>
      <c r="C273" s="15"/>
      <c r="D273" s="15"/>
    </row>
    <row r="274" spans="1:4" ht="14.1" customHeight="1">
      <c r="A274" s="15"/>
      <c r="C274" s="15"/>
      <c r="D274" s="15"/>
    </row>
    <row r="275" spans="1:4" ht="14.1" customHeight="1">
      <c r="A275" s="15"/>
      <c r="C275" s="15"/>
      <c r="D275" s="15"/>
    </row>
    <row r="276" spans="1:4" ht="14.1" customHeight="1">
      <c r="A276" s="15"/>
      <c r="C276" s="15"/>
      <c r="D276" s="15"/>
    </row>
    <row r="277" spans="1:4" ht="14.1" customHeight="1">
      <c r="A277" s="15"/>
      <c r="C277" s="15"/>
      <c r="D277" s="15"/>
    </row>
    <row r="278" spans="1:4" ht="14.1" customHeight="1">
      <c r="A278" s="15"/>
      <c r="C278" s="15"/>
      <c r="D278" s="15"/>
    </row>
    <row r="279" spans="1:4" ht="14.1" customHeight="1">
      <c r="A279" s="15"/>
      <c r="C279" s="15"/>
      <c r="D279" s="15"/>
    </row>
    <row r="280" spans="1:4" ht="14.1" customHeight="1">
      <c r="A280" s="15"/>
      <c r="C280" s="15"/>
      <c r="D280" s="15"/>
    </row>
    <row r="281" spans="1:4" ht="14.1" customHeight="1">
      <c r="A281" s="15"/>
      <c r="C281" s="15"/>
      <c r="D281" s="15"/>
    </row>
    <row r="282" spans="1:4" ht="14.1" customHeight="1">
      <c r="A282" s="15"/>
      <c r="C282" s="15"/>
      <c r="D282" s="15"/>
    </row>
    <row r="283" spans="1:4" ht="14.1" customHeight="1">
      <c r="A283" s="15"/>
      <c r="C283" s="15"/>
      <c r="D283" s="15"/>
    </row>
    <row r="284" spans="1:4" ht="14.1" customHeight="1">
      <c r="A284" s="15"/>
      <c r="C284" s="15"/>
      <c r="D284" s="15"/>
    </row>
    <row r="285" spans="1:4" ht="14.1" customHeight="1">
      <c r="A285" s="15"/>
      <c r="C285" s="15"/>
      <c r="D285" s="15"/>
    </row>
    <row r="286" spans="1:4" ht="14.1" customHeight="1">
      <c r="A286" s="15"/>
      <c r="C286" s="15"/>
      <c r="D286" s="15"/>
    </row>
    <row r="287" spans="1:4" ht="14.1" customHeight="1">
      <c r="A287" s="15"/>
      <c r="C287" s="15"/>
      <c r="D287" s="15"/>
    </row>
    <row r="288" spans="1:4" ht="14.1" customHeight="1">
      <c r="A288" s="15"/>
      <c r="C288" s="15"/>
      <c r="D288" s="15"/>
    </row>
    <row r="289" spans="1:4" ht="14.1" customHeight="1">
      <c r="A289" s="15"/>
      <c r="C289" s="15"/>
      <c r="D289" s="15"/>
    </row>
    <row r="290" spans="1:4" ht="14.1" customHeight="1">
      <c r="A290" s="15"/>
      <c r="C290" s="15"/>
      <c r="D290" s="15"/>
    </row>
    <row r="291" spans="1:4" ht="14.1" customHeight="1">
      <c r="A291" s="15"/>
      <c r="C291" s="15"/>
      <c r="D291" s="15"/>
    </row>
    <row r="292" spans="1:4" ht="14.1" customHeight="1">
      <c r="A292" s="15"/>
      <c r="C292" s="15"/>
      <c r="D292" s="15"/>
    </row>
    <row r="293" spans="1:4" ht="14.1" customHeight="1">
      <c r="A293" s="15"/>
      <c r="C293" s="15"/>
      <c r="D293" s="15"/>
    </row>
    <row r="294" spans="1:4" ht="14.1" customHeight="1">
      <c r="A294" s="15"/>
      <c r="C294" s="15"/>
      <c r="D294" s="15"/>
    </row>
    <row r="295" spans="1:4" ht="14.1" customHeight="1">
      <c r="A295" s="15"/>
      <c r="C295" s="15"/>
      <c r="D295" s="15"/>
    </row>
    <row r="296" spans="1:4" ht="14.1" customHeight="1">
      <c r="A296" s="15"/>
      <c r="C296" s="15"/>
      <c r="D296" s="15"/>
    </row>
    <row r="297" spans="1:4" ht="14.1" customHeight="1">
      <c r="A297" s="15"/>
      <c r="C297" s="15"/>
      <c r="D297" s="15"/>
    </row>
    <row r="298" spans="1:4" ht="14.1" customHeight="1">
      <c r="A298" s="15"/>
      <c r="C298" s="15"/>
      <c r="D298" s="15"/>
    </row>
    <row r="299" spans="1:4" ht="14.1" customHeight="1">
      <c r="A299" s="15"/>
      <c r="C299" s="15"/>
      <c r="D299" s="15"/>
    </row>
    <row r="300" spans="1:4" ht="14.1" customHeight="1">
      <c r="A300" s="15"/>
      <c r="C300" s="15"/>
      <c r="D300" s="15"/>
    </row>
    <row r="301" spans="1:4" ht="14.1" customHeight="1">
      <c r="A301" s="15"/>
      <c r="C301" s="15"/>
      <c r="D301" s="15"/>
    </row>
    <row r="302" spans="1:4" ht="14.1" customHeight="1">
      <c r="A302" s="15"/>
      <c r="C302" s="15"/>
      <c r="D302" s="15"/>
    </row>
    <row r="303" spans="1:4" ht="14.1" customHeight="1">
      <c r="A303" s="15"/>
      <c r="C303" s="15"/>
      <c r="D303" s="15"/>
    </row>
    <row r="304" spans="1:4" ht="14.1" customHeight="1">
      <c r="A304" s="15"/>
      <c r="C304" s="15"/>
      <c r="D304" s="15"/>
    </row>
    <row r="305" spans="1:4" ht="14.1" customHeight="1">
      <c r="A305" s="15"/>
      <c r="C305" s="15"/>
      <c r="D305" s="15"/>
    </row>
    <row r="306" spans="1:4" ht="14.1" customHeight="1">
      <c r="A306" s="15"/>
      <c r="C306" s="15"/>
      <c r="D306" s="15"/>
    </row>
    <row r="307" spans="1:4" ht="14.1" customHeight="1">
      <c r="A307" s="15"/>
      <c r="C307" s="15"/>
      <c r="D307" s="15"/>
    </row>
    <row r="308" spans="1:4" ht="14.1" customHeight="1">
      <c r="A308" s="15"/>
      <c r="C308" s="15"/>
      <c r="D308" s="15"/>
    </row>
    <row r="309" spans="1:4" ht="14.1" customHeight="1">
      <c r="A309" s="15"/>
      <c r="C309" s="15"/>
      <c r="D309" s="15"/>
    </row>
    <row r="310" spans="1:4" ht="14.1" customHeight="1">
      <c r="A310" s="15"/>
      <c r="C310" s="15"/>
      <c r="D310" s="15"/>
    </row>
    <row r="311" spans="1:4" ht="14.1" customHeight="1">
      <c r="A311" s="15"/>
      <c r="C311" s="15"/>
      <c r="D311" s="15"/>
    </row>
    <row r="312" spans="1:4" ht="14.1" customHeight="1">
      <c r="A312" s="15"/>
      <c r="C312" s="15"/>
      <c r="D312" s="15"/>
    </row>
    <row r="313" spans="1:4" ht="14.1" customHeight="1">
      <c r="A313" s="15"/>
      <c r="C313" s="15"/>
      <c r="D313" s="15"/>
    </row>
    <row r="314" spans="1:4" ht="14.1" customHeight="1">
      <c r="A314" s="15"/>
      <c r="C314" s="15"/>
      <c r="D314" s="15"/>
    </row>
    <row r="315" spans="1:4" ht="14.1" customHeight="1">
      <c r="A315" s="15"/>
      <c r="C315" s="15"/>
      <c r="D315" s="15"/>
    </row>
    <row r="316" spans="1:4" ht="14.1" customHeight="1">
      <c r="A316" s="15"/>
      <c r="C316" s="15"/>
      <c r="D316" s="15"/>
    </row>
    <row r="317" spans="1:4" ht="14.1" customHeight="1">
      <c r="A317" s="15"/>
      <c r="C317" s="15"/>
      <c r="D317" s="15"/>
    </row>
    <row r="318" spans="1:4" ht="14.1" customHeight="1">
      <c r="A318" s="15"/>
      <c r="C318" s="15"/>
      <c r="D318" s="15"/>
    </row>
    <row r="319" spans="1:4" ht="14.1" customHeight="1">
      <c r="A319" s="15"/>
      <c r="C319" s="15"/>
      <c r="D319" s="15"/>
    </row>
    <row r="320" spans="1:4" ht="14.1" customHeight="1">
      <c r="A320" s="15"/>
      <c r="C320" s="15"/>
      <c r="D320" s="15"/>
    </row>
    <row r="321" spans="1:4" ht="14.1" customHeight="1">
      <c r="A321" s="15"/>
      <c r="C321" s="15"/>
      <c r="D321" s="15"/>
    </row>
    <row r="322" spans="1:4" ht="14.1" customHeight="1">
      <c r="A322" s="15"/>
      <c r="C322" s="15"/>
      <c r="D322" s="15"/>
    </row>
    <row r="323" spans="1:4" ht="14.1" customHeight="1">
      <c r="A323" s="15"/>
      <c r="C323" s="15"/>
      <c r="D323" s="15"/>
    </row>
    <row r="324" spans="1:4" ht="14.1" customHeight="1">
      <c r="A324" s="15"/>
      <c r="C324" s="15"/>
      <c r="D324" s="15"/>
    </row>
    <row r="325" spans="1:4" ht="14.1" customHeight="1">
      <c r="A325" s="15"/>
      <c r="C325" s="15"/>
      <c r="D325" s="15"/>
    </row>
    <row r="326" spans="1:4" ht="14.1" customHeight="1">
      <c r="A326" s="15"/>
      <c r="C326" s="15"/>
      <c r="D326" s="15"/>
    </row>
    <row r="327" spans="1:4" ht="14.1" customHeight="1">
      <c r="A327" s="15"/>
      <c r="C327" s="15"/>
      <c r="D327" s="15"/>
    </row>
    <row r="328" spans="1:4" ht="14.1" customHeight="1">
      <c r="A328" s="15"/>
      <c r="C328" s="15"/>
      <c r="D328" s="15"/>
    </row>
    <row r="329" spans="1:4" ht="14.1" customHeight="1">
      <c r="A329" s="15"/>
      <c r="C329" s="15"/>
      <c r="D329" s="15"/>
    </row>
    <row r="330" spans="1:4" ht="14.1" customHeight="1">
      <c r="A330" s="15"/>
      <c r="C330" s="15"/>
      <c r="D330" s="15"/>
    </row>
    <row r="331" spans="1:4" ht="14.1" customHeight="1">
      <c r="A331" s="15"/>
      <c r="C331" s="15"/>
      <c r="D331" s="15"/>
    </row>
    <row r="332" spans="1:4" ht="14.1" customHeight="1">
      <c r="A332" s="15"/>
      <c r="C332" s="15"/>
      <c r="D332" s="15"/>
    </row>
    <row r="333" spans="1:4" ht="14.1" customHeight="1">
      <c r="A333" s="15"/>
      <c r="C333" s="15"/>
      <c r="D333" s="15"/>
    </row>
    <row r="334" spans="1:4" ht="14.1" customHeight="1">
      <c r="A334" s="15"/>
      <c r="C334" s="15"/>
      <c r="D334" s="15"/>
    </row>
    <row r="335" spans="1:4" ht="14.1" customHeight="1">
      <c r="A335" s="15"/>
      <c r="C335" s="15"/>
      <c r="D335" s="15"/>
    </row>
    <row r="336" spans="1:4" ht="14.1" customHeight="1">
      <c r="A336" s="15"/>
      <c r="C336" s="15"/>
      <c r="D336" s="15"/>
    </row>
    <row r="337" spans="1:4" ht="14.1" customHeight="1">
      <c r="A337" s="15"/>
      <c r="C337" s="15"/>
      <c r="D337" s="15"/>
    </row>
    <row r="338" spans="1:4" ht="14.1" customHeight="1">
      <c r="A338" s="15"/>
      <c r="C338" s="15"/>
      <c r="D338" s="15"/>
    </row>
    <row r="339" spans="1:4" ht="14.1" customHeight="1">
      <c r="A339" s="15"/>
      <c r="C339" s="15"/>
      <c r="D339" s="15"/>
    </row>
    <row r="340" spans="1:4" ht="14.1" customHeight="1">
      <c r="A340" s="15"/>
      <c r="C340" s="15"/>
      <c r="D340" s="15"/>
    </row>
    <row r="341" spans="1:4" ht="14.1" customHeight="1">
      <c r="A341" s="15"/>
      <c r="C341" s="15"/>
      <c r="D341" s="15"/>
    </row>
    <row r="342" spans="1:4" ht="14.1" customHeight="1">
      <c r="A342" s="15"/>
      <c r="C342" s="15"/>
      <c r="D342" s="15"/>
    </row>
    <row r="343" spans="1:4" ht="14.1" customHeight="1">
      <c r="A343" s="15"/>
      <c r="C343" s="15"/>
      <c r="D343" s="15"/>
    </row>
    <row r="344" spans="1:4" ht="14.1" customHeight="1">
      <c r="A344" s="15"/>
      <c r="C344" s="15"/>
      <c r="D344" s="15"/>
    </row>
    <row r="345" spans="1:4" ht="14.1" customHeight="1">
      <c r="A345" s="15"/>
      <c r="C345" s="15"/>
      <c r="D345" s="15"/>
    </row>
    <row r="346" spans="1:4" ht="14.1" customHeight="1">
      <c r="A346" s="15"/>
      <c r="C346" s="15"/>
      <c r="D346" s="15"/>
    </row>
    <row r="347" spans="1:4" ht="14.1" customHeight="1">
      <c r="A347" s="15"/>
      <c r="C347" s="15"/>
      <c r="D347" s="15"/>
    </row>
    <row r="348" spans="1:4" ht="14.1" customHeight="1">
      <c r="A348" s="15"/>
      <c r="C348" s="15"/>
      <c r="D348" s="15"/>
    </row>
    <row r="349" spans="1:4" ht="14.1" customHeight="1">
      <c r="A349" s="15"/>
      <c r="C349" s="15"/>
      <c r="D349" s="15"/>
    </row>
    <row r="350" spans="1:4" ht="14.1" customHeight="1">
      <c r="A350" s="15"/>
      <c r="C350" s="15"/>
      <c r="D350" s="15"/>
    </row>
    <row r="351" spans="1:4" ht="14.1" customHeight="1">
      <c r="A351" s="15"/>
      <c r="C351" s="15"/>
      <c r="D351" s="15"/>
    </row>
    <row r="352" spans="1:4" ht="14.1" customHeight="1">
      <c r="A352" s="15"/>
      <c r="C352" s="15"/>
      <c r="D352" s="15"/>
    </row>
    <row r="353" spans="1:4" ht="14.1" customHeight="1">
      <c r="A353" s="15"/>
      <c r="C353" s="15"/>
      <c r="D353" s="15"/>
    </row>
    <row r="354" spans="1:4" ht="14.1" customHeight="1">
      <c r="A354" s="15"/>
      <c r="C354" s="15"/>
      <c r="D354" s="15"/>
    </row>
    <row r="355" spans="1:4" ht="14.1" customHeight="1">
      <c r="A355" s="15"/>
      <c r="C355" s="15"/>
      <c r="D355" s="15"/>
    </row>
    <row r="356" spans="1:4" ht="14.1" customHeight="1">
      <c r="A356" s="15"/>
      <c r="C356" s="15"/>
      <c r="D356" s="15"/>
    </row>
    <row r="357" spans="1:4" ht="14.1" customHeight="1">
      <c r="A357" s="15"/>
      <c r="C357" s="15"/>
      <c r="D357" s="15"/>
    </row>
    <row r="358" spans="1:4" ht="14.1" customHeight="1">
      <c r="A358" s="15"/>
      <c r="C358" s="15"/>
      <c r="D358" s="15"/>
    </row>
    <row r="359" spans="1:4" ht="14.1" customHeight="1">
      <c r="A359" s="15"/>
      <c r="C359" s="15"/>
      <c r="D359" s="15"/>
    </row>
    <row r="360" spans="1:4" ht="14.1" customHeight="1">
      <c r="A360" s="15"/>
      <c r="C360" s="15"/>
      <c r="D360" s="15"/>
    </row>
    <row r="361" spans="1:4" ht="14.1" customHeight="1">
      <c r="A361" s="15"/>
      <c r="C361" s="15"/>
      <c r="D361" s="15"/>
    </row>
    <row r="362" spans="1:4" ht="14.1" customHeight="1">
      <c r="A362" s="15"/>
      <c r="C362" s="15"/>
      <c r="D362" s="15"/>
    </row>
    <row r="363" spans="1:4" ht="14.1" customHeight="1">
      <c r="A363" s="15"/>
      <c r="C363" s="15"/>
      <c r="D363" s="15"/>
    </row>
    <row r="364" spans="1:4" ht="14.1" customHeight="1">
      <c r="A364" s="15"/>
      <c r="C364" s="15"/>
      <c r="D364" s="15"/>
    </row>
    <row r="365" spans="1:4" ht="14.1" customHeight="1">
      <c r="A365" s="15"/>
      <c r="C365" s="15"/>
      <c r="D365" s="15"/>
    </row>
    <row r="366" spans="1:4" ht="14.1" customHeight="1">
      <c r="A366" s="15"/>
      <c r="C366" s="15"/>
      <c r="D366" s="15"/>
    </row>
    <row r="367" spans="1:4" ht="14.1" customHeight="1">
      <c r="A367" s="15"/>
      <c r="C367" s="15"/>
      <c r="D367" s="15"/>
    </row>
    <row r="368" spans="1:4" ht="14.1" customHeight="1">
      <c r="A368" s="15"/>
      <c r="C368" s="15"/>
      <c r="D368" s="15"/>
    </row>
    <row r="369" spans="1:4" ht="14.1" customHeight="1">
      <c r="A369" s="15"/>
      <c r="C369" s="15"/>
      <c r="D369" s="15"/>
    </row>
    <row r="370" spans="1:4" ht="14.1" customHeight="1">
      <c r="A370" s="15"/>
      <c r="C370" s="15"/>
      <c r="D370" s="15"/>
    </row>
    <row r="371" spans="1:4" ht="14.1" customHeight="1">
      <c r="A371" s="15"/>
      <c r="C371" s="15"/>
      <c r="D371" s="15"/>
    </row>
    <row r="372" spans="1:4" ht="14.1" customHeight="1">
      <c r="A372" s="15"/>
      <c r="C372" s="15"/>
      <c r="D372" s="15"/>
    </row>
    <row r="373" spans="1:4" ht="14.1" customHeight="1">
      <c r="A373" s="15"/>
      <c r="C373" s="15"/>
      <c r="D373" s="15"/>
    </row>
    <row r="374" spans="1:4" ht="14.1" customHeight="1">
      <c r="A374" s="15"/>
      <c r="C374" s="15"/>
      <c r="D374" s="15"/>
    </row>
    <row r="375" spans="1:4" ht="14.1" customHeight="1">
      <c r="A375" s="15"/>
      <c r="C375" s="15"/>
      <c r="D375" s="15"/>
    </row>
    <row r="376" spans="1:4" ht="14.1" customHeight="1">
      <c r="A376" s="15"/>
      <c r="C376" s="15"/>
      <c r="D376" s="15"/>
    </row>
    <row r="377" spans="1:4" ht="14.1" customHeight="1">
      <c r="A377" s="15"/>
      <c r="C377" s="15"/>
      <c r="D377" s="15"/>
    </row>
    <row r="378" spans="1:4" ht="14.1" customHeight="1">
      <c r="A378" s="15"/>
      <c r="C378" s="15"/>
      <c r="D378" s="15"/>
    </row>
    <row r="379" spans="1:4" ht="14.1" customHeight="1">
      <c r="A379" s="15"/>
      <c r="C379" s="15"/>
      <c r="D379" s="15"/>
    </row>
    <row r="380" spans="1:4" ht="14.1" customHeight="1">
      <c r="A380" s="15"/>
      <c r="C380" s="15"/>
      <c r="D380" s="15"/>
    </row>
    <row r="381" spans="1:4" ht="14.1" customHeight="1">
      <c r="A381" s="15"/>
      <c r="C381" s="15"/>
      <c r="D381" s="15"/>
    </row>
    <row r="382" spans="1:4" ht="14.1" customHeight="1">
      <c r="A382" s="15"/>
      <c r="C382" s="15"/>
      <c r="D382" s="15"/>
    </row>
    <row r="383" spans="1:4" ht="14.1" customHeight="1">
      <c r="A383" s="15"/>
      <c r="C383" s="15"/>
      <c r="D383" s="15"/>
    </row>
    <row r="384" spans="1:4" ht="14.1" customHeight="1">
      <c r="A384" s="15"/>
      <c r="C384" s="15"/>
      <c r="D384" s="15"/>
    </row>
    <row r="385" spans="1:4" ht="14.1" customHeight="1">
      <c r="A385" s="15"/>
      <c r="C385" s="15"/>
      <c r="D385" s="15"/>
    </row>
    <row r="386" spans="1:4" ht="14.1" customHeight="1">
      <c r="A386" s="15"/>
      <c r="C386" s="15"/>
      <c r="D386" s="15"/>
    </row>
    <row r="387" spans="1:4" ht="14.1" customHeight="1">
      <c r="A387" s="15"/>
      <c r="C387" s="15"/>
      <c r="D387" s="15"/>
    </row>
    <row r="388" spans="1:4" ht="14.1" customHeight="1">
      <c r="A388" s="15"/>
      <c r="C388" s="15"/>
      <c r="D388" s="15"/>
    </row>
    <row r="389" spans="1:4" ht="14.1" customHeight="1">
      <c r="A389" s="15"/>
      <c r="C389" s="15"/>
      <c r="D389" s="15"/>
    </row>
    <row r="390" spans="1:4" ht="14.1" customHeight="1">
      <c r="A390" s="15"/>
      <c r="C390" s="15"/>
      <c r="D390" s="15"/>
    </row>
    <row r="391" spans="1:4" ht="14.1" customHeight="1">
      <c r="A391" s="15"/>
      <c r="C391" s="15"/>
      <c r="D391" s="15"/>
    </row>
    <row r="392" spans="1:4" ht="14.1" customHeight="1">
      <c r="A392" s="15"/>
      <c r="C392" s="15"/>
      <c r="D392" s="15"/>
    </row>
    <row r="393" spans="1:4" ht="14.1" customHeight="1">
      <c r="A393" s="15"/>
      <c r="C393" s="15"/>
      <c r="D393" s="15"/>
    </row>
    <row r="394" spans="1:4" ht="14.1" customHeight="1">
      <c r="A394" s="15"/>
      <c r="C394" s="15"/>
      <c r="D394" s="15"/>
    </row>
    <row r="395" spans="1:4" ht="14.1" customHeight="1">
      <c r="A395" s="15"/>
      <c r="C395" s="15"/>
      <c r="D395" s="15"/>
    </row>
    <row r="396" spans="1:4" ht="14.1" customHeight="1">
      <c r="A396" s="15"/>
      <c r="C396" s="15"/>
      <c r="D396" s="15"/>
    </row>
    <row r="397" spans="1:4" ht="14.1" customHeight="1">
      <c r="A397" s="15"/>
      <c r="C397" s="15"/>
      <c r="D397" s="15"/>
    </row>
    <row r="398" spans="1:4" ht="14.1" customHeight="1">
      <c r="A398" s="15"/>
      <c r="C398" s="15"/>
      <c r="D398" s="15"/>
    </row>
    <row r="399" spans="1:4" ht="14.1" customHeight="1">
      <c r="A399" s="15"/>
      <c r="C399" s="15"/>
      <c r="D399" s="15"/>
    </row>
    <row r="400" spans="1:4" ht="14.1" customHeight="1">
      <c r="A400" s="15"/>
      <c r="C400" s="15"/>
      <c r="D400" s="15"/>
    </row>
    <row r="401" spans="1:4" ht="14.1" customHeight="1">
      <c r="A401" s="15"/>
      <c r="C401" s="15"/>
      <c r="D401" s="15"/>
    </row>
    <row r="402" spans="1:4" ht="14.1" customHeight="1">
      <c r="A402" s="15"/>
      <c r="C402" s="15"/>
      <c r="D402" s="15"/>
    </row>
    <row r="403" spans="1:4" ht="14.1" customHeight="1">
      <c r="A403" s="15"/>
      <c r="C403" s="15"/>
      <c r="D403" s="15"/>
    </row>
    <row r="404" spans="1:4" ht="14.1" customHeight="1">
      <c r="A404" s="15"/>
      <c r="C404" s="15"/>
      <c r="D404" s="15"/>
    </row>
    <row r="405" spans="1:4" ht="14.1" customHeight="1">
      <c r="A405" s="15"/>
      <c r="C405" s="15"/>
      <c r="D405" s="15"/>
    </row>
    <row r="406" spans="1:4" ht="14.1" customHeight="1">
      <c r="A406" s="15"/>
      <c r="C406" s="15"/>
      <c r="D406" s="15"/>
    </row>
    <row r="407" spans="1:4" ht="14.1" customHeight="1">
      <c r="A407" s="15"/>
      <c r="C407" s="15"/>
      <c r="D407" s="15"/>
    </row>
    <row r="408" spans="1:4" ht="14.1" customHeight="1">
      <c r="A408" s="15"/>
      <c r="C408" s="15"/>
      <c r="D408" s="15"/>
    </row>
    <row r="409" spans="1:4" ht="14.1" customHeight="1">
      <c r="A409" s="15"/>
      <c r="C409" s="15"/>
      <c r="D409" s="15"/>
    </row>
    <row r="410" spans="1:4" ht="14.1" customHeight="1">
      <c r="A410" s="15"/>
      <c r="C410" s="15"/>
      <c r="D410" s="15"/>
    </row>
    <row r="411" spans="1:4" ht="14.1" customHeight="1">
      <c r="A411" s="15"/>
      <c r="C411" s="15"/>
      <c r="D411" s="15"/>
    </row>
    <row r="412" spans="1:4" ht="14.1" customHeight="1">
      <c r="A412" s="15"/>
      <c r="C412" s="15"/>
      <c r="D412" s="15"/>
    </row>
    <row r="413" spans="1:4" ht="14.1" customHeight="1">
      <c r="A413" s="15"/>
      <c r="C413" s="15"/>
      <c r="D413" s="15"/>
    </row>
    <row r="414" spans="1:4" ht="14.1" customHeight="1">
      <c r="A414" s="15"/>
      <c r="C414" s="15"/>
      <c r="D414" s="15"/>
    </row>
    <row r="415" spans="1:4" ht="14.1" customHeight="1">
      <c r="A415" s="15"/>
      <c r="C415" s="15"/>
      <c r="D415" s="15"/>
    </row>
    <row r="416" spans="1:4" ht="14.1" customHeight="1">
      <c r="A416" s="15"/>
      <c r="C416" s="15"/>
      <c r="D416" s="15"/>
    </row>
    <row r="417" spans="1:4" ht="14.1" customHeight="1">
      <c r="A417" s="15"/>
      <c r="C417" s="15"/>
      <c r="D417" s="15"/>
    </row>
    <row r="418" spans="1:4" ht="14.1" customHeight="1">
      <c r="A418" s="15"/>
      <c r="C418" s="15"/>
      <c r="D418" s="15"/>
    </row>
    <row r="419" spans="1:4" ht="14.1" customHeight="1">
      <c r="A419" s="15"/>
      <c r="C419" s="15"/>
      <c r="D419" s="15"/>
    </row>
    <row r="420" spans="1:4" ht="14.1" customHeight="1">
      <c r="A420" s="15"/>
      <c r="C420" s="15"/>
      <c r="D420" s="15"/>
    </row>
    <row r="421" spans="1:4" ht="14.1" customHeight="1">
      <c r="A421" s="15"/>
      <c r="C421" s="15"/>
      <c r="D421" s="15"/>
    </row>
    <row r="422" spans="1:4" ht="14.1" customHeight="1">
      <c r="A422" s="15"/>
      <c r="C422" s="15"/>
      <c r="D422" s="15"/>
    </row>
    <row r="423" spans="1:4" ht="14.1" customHeight="1">
      <c r="A423" s="15"/>
      <c r="C423" s="15"/>
      <c r="D423" s="15"/>
    </row>
    <row r="424" spans="1:4" ht="14.1" customHeight="1">
      <c r="A424" s="15"/>
      <c r="C424" s="15"/>
      <c r="D424" s="15"/>
    </row>
    <row r="425" spans="1:4" ht="14.1" customHeight="1">
      <c r="A425" s="15"/>
      <c r="C425" s="15"/>
      <c r="D425" s="15"/>
    </row>
    <row r="426" spans="1:4" ht="14.1" customHeight="1">
      <c r="A426" s="15"/>
      <c r="C426" s="15"/>
      <c r="D426" s="15"/>
    </row>
    <row r="427" spans="1:4" ht="14.1" customHeight="1">
      <c r="A427" s="15"/>
      <c r="C427" s="15"/>
      <c r="D427" s="15"/>
    </row>
    <row r="428" spans="1:4" ht="14.1" customHeight="1">
      <c r="A428" s="15"/>
      <c r="C428" s="15"/>
      <c r="D428" s="15"/>
    </row>
    <row r="429" spans="1:4" ht="14.1" customHeight="1">
      <c r="A429" s="15"/>
      <c r="C429" s="15"/>
      <c r="D429" s="15"/>
    </row>
    <row r="430" spans="1:4" ht="14.1" customHeight="1">
      <c r="A430" s="15"/>
      <c r="C430" s="15"/>
      <c r="D430" s="15"/>
    </row>
    <row r="431" spans="1:4" ht="14.1" customHeight="1">
      <c r="A431" s="15"/>
      <c r="C431" s="15"/>
      <c r="D431" s="15"/>
    </row>
    <row r="432" spans="1:4" ht="14.1" customHeight="1">
      <c r="A432" s="15"/>
      <c r="C432" s="15"/>
      <c r="D432" s="15"/>
    </row>
    <row r="433" spans="1:4" ht="14.1" customHeight="1">
      <c r="A433" s="15"/>
      <c r="C433" s="15"/>
      <c r="D433" s="15"/>
    </row>
    <row r="434" spans="1:4" ht="14.1" customHeight="1">
      <c r="A434" s="15"/>
      <c r="C434" s="15"/>
      <c r="D434" s="15"/>
    </row>
    <row r="435" spans="1:4" ht="14.1" customHeight="1">
      <c r="A435" s="15"/>
      <c r="C435" s="15"/>
      <c r="D435" s="15"/>
    </row>
    <row r="436" spans="1:4" ht="14.1" customHeight="1">
      <c r="A436" s="15"/>
      <c r="C436" s="15"/>
      <c r="D436" s="15"/>
    </row>
    <row r="437" spans="1:4" ht="14.1" customHeight="1">
      <c r="A437" s="15"/>
      <c r="C437" s="15"/>
      <c r="D437" s="15"/>
    </row>
    <row r="438" spans="1:4" ht="14.1" customHeight="1">
      <c r="A438" s="15"/>
      <c r="C438" s="15"/>
      <c r="D438" s="15"/>
    </row>
    <row r="439" spans="1:4" ht="14.1" customHeight="1">
      <c r="A439" s="15"/>
      <c r="C439" s="15"/>
      <c r="D439" s="15"/>
    </row>
    <row r="440" spans="1:4" ht="14.1" customHeight="1">
      <c r="A440" s="15"/>
      <c r="C440" s="15"/>
      <c r="D440" s="15"/>
    </row>
    <row r="441" spans="1:4" ht="14.1" customHeight="1">
      <c r="A441" s="15"/>
      <c r="C441" s="15"/>
      <c r="D441" s="15"/>
    </row>
    <row r="442" spans="1:4" ht="14.1" customHeight="1">
      <c r="A442" s="15"/>
      <c r="C442" s="15"/>
      <c r="D442" s="15"/>
    </row>
    <row r="443" spans="1:4" ht="14.1" customHeight="1">
      <c r="A443" s="15"/>
      <c r="C443" s="15"/>
      <c r="D443" s="15"/>
    </row>
    <row r="444" spans="1:4" ht="14.1" customHeight="1">
      <c r="A444" s="15"/>
      <c r="C444" s="15"/>
      <c r="D444" s="15"/>
    </row>
    <row r="445" spans="1:4" ht="14.1" customHeight="1">
      <c r="A445" s="15"/>
      <c r="C445" s="15"/>
      <c r="D445" s="15"/>
    </row>
    <row r="446" spans="1:4" ht="14.1" customHeight="1">
      <c r="A446" s="15"/>
      <c r="C446" s="15"/>
      <c r="D446" s="15"/>
    </row>
    <row r="447" spans="1:4" ht="14.1" customHeight="1">
      <c r="A447" s="15"/>
      <c r="C447" s="15"/>
      <c r="D447" s="15"/>
    </row>
    <row r="448" spans="1:4" ht="14.1" customHeight="1">
      <c r="A448" s="15"/>
      <c r="C448" s="15"/>
      <c r="D448" s="15"/>
    </row>
    <row r="449" spans="1:4" ht="14.1" customHeight="1">
      <c r="A449" s="15"/>
      <c r="C449" s="15"/>
      <c r="D449" s="15"/>
    </row>
    <row r="450" spans="1:4" ht="14.1" customHeight="1">
      <c r="A450" s="15"/>
      <c r="C450" s="15"/>
      <c r="D450" s="15"/>
    </row>
    <row r="451" spans="1:4" ht="14.1" customHeight="1">
      <c r="A451" s="15"/>
      <c r="C451" s="15"/>
      <c r="D451" s="15"/>
    </row>
    <row r="452" spans="1:4" ht="14.1" customHeight="1">
      <c r="A452" s="15"/>
      <c r="C452" s="15"/>
      <c r="D452" s="15"/>
    </row>
    <row r="453" spans="1:4" ht="14.1" customHeight="1">
      <c r="A453" s="15"/>
      <c r="C453" s="15"/>
      <c r="D453" s="15"/>
    </row>
    <row r="454" spans="1:4" ht="14.1" customHeight="1">
      <c r="A454" s="15"/>
      <c r="C454" s="15"/>
      <c r="D454" s="15"/>
    </row>
    <row r="455" spans="1:4" ht="14.1" customHeight="1">
      <c r="A455" s="15"/>
      <c r="C455" s="15"/>
      <c r="D455" s="15"/>
    </row>
    <row r="456" spans="1:4" ht="14.1" customHeight="1">
      <c r="A456" s="15"/>
      <c r="C456" s="15"/>
      <c r="D456" s="15"/>
    </row>
    <row r="457" spans="1:4" ht="14.1" customHeight="1">
      <c r="A457" s="15"/>
      <c r="C457" s="15"/>
      <c r="D457" s="15"/>
    </row>
    <row r="458" spans="1:4" ht="14.1" customHeight="1">
      <c r="A458" s="15"/>
      <c r="C458" s="15"/>
      <c r="D458" s="15"/>
    </row>
    <row r="459" spans="1:4" ht="14.1" customHeight="1">
      <c r="A459" s="15"/>
      <c r="C459" s="15"/>
      <c r="D459" s="15"/>
    </row>
    <row r="460" spans="1:4" ht="14.1" customHeight="1">
      <c r="A460" s="15"/>
      <c r="C460" s="15"/>
      <c r="D460" s="15"/>
    </row>
    <row r="461" spans="1:4" ht="14.1" customHeight="1">
      <c r="A461" s="15"/>
      <c r="C461" s="15"/>
      <c r="D461" s="15"/>
    </row>
    <row r="462" spans="1:4" ht="14.1" customHeight="1">
      <c r="A462" s="15"/>
      <c r="C462" s="15"/>
      <c r="D462" s="15"/>
    </row>
    <row r="463" spans="1:4" ht="14.1" customHeight="1">
      <c r="A463" s="15"/>
      <c r="C463" s="15"/>
      <c r="D463" s="15"/>
    </row>
    <row r="464" spans="1:4" ht="14.1" customHeight="1">
      <c r="A464" s="15"/>
      <c r="C464" s="15"/>
      <c r="D464" s="15"/>
    </row>
    <row r="465" spans="1:4" ht="14.1" customHeight="1">
      <c r="A465" s="15"/>
      <c r="C465" s="15"/>
      <c r="D465" s="15"/>
    </row>
    <row r="466" spans="1:4" ht="14.1" customHeight="1">
      <c r="A466" s="15"/>
      <c r="C466" s="15"/>
      <c r="D466" s="15"/>
    </row>
    <row r="467" spans="1:4" ht="14.1" customHeight="1">
      <c r="A467" s="15"/>
      <c r="C467" s="15"/>
      <c r="D467" s="15"/>
    </row>
    <row r="468" spans="1:4" ht="14.1" customHeight="1">
      <c r="A468" s="15"/>
      <c r="C468" s="15"/>
      <c r="D468" s="15"/>
    </row>
    <row r="469" spans="1:4" ht="14.1" customHeight="1">
      <c r="A469" s="15"/>
      <c r="C469" s="15"/>
      <c r="D469" s="15"/>
    </row>
    <row r="470" spans="1:4" ht="14.1" customHeight="1">
      <c r="A470" s="15"/>
      <c r="C470" s="15"/>
      <c r="D470" s="15"/>
    </row>
    <row r="471" spans="1:4" ht="14.1" customHeight="1">
      <c r="A471" s="15"/>
      <c r="C471" s="15"/>
      <c r="D471" s="15"/>
    </row>
    <row r="472" spans="1:4" ht="14.1" customHeight="1">
      <c r="A472" s="15"/>
      <c r="C472" s="15"/>
      <c r="D472" s="15"/>
    </row>
    <row r="473" spans="1:4" ht="14.1" customHeight="1">
      <c r="A473" s="15"/>
      <c r="C473" s="15"/>
      <c r="D473" s="15"/>
    </row>
    <row r="474" spans="1:4" ht="14.1" customHeight="1">
      <c r="A474" s="15"/>
      <c r="C474" s="15"/>
      <c r="D474" s="15"/>
    </row>
    <row r="475" spans="1:4" ht="14.1" customHeight="1">
      <c r="A475" s="15"/>
      <c r="C475" s="15"/>
      <c r="D475" s="15"/>
    </row>
    <row r="476" spans="1:4" ht="14.1" customHeight="1">
      <c r="A476" s="15"/>
      <c r="C476" s="15"/>
      <c r="D476" s="15"/>
    </row>
    <row r="477" spans="1:4" ht="14.1" customHeight="1">
      <c r="A477" s="15"/>
      <c r="C477" s="15"/>
      <c r="D477" s="15"/>
    </row>
    <row r="478" spans="1:4" ht="14.1" customHeight="1">
      <c r="A478" s="15"/>
      <c r="C478" s="15"/>
      <c r="D478" s="15"/>
    </row>
    <row r="479" spans="1:4" ht="14.1" customHeight="1">
      <c r="A479" s="15"/>
      <c r="C479" s="15"/>
      <c r="D479" s="15"/>
    </row>
    <row r="480" spans="1:4" ht="14.1" customHeight="1">
      <c r="A480" s="15"/>
      <c r="C480" s="15"/>
      <c r="D480" s="15"/>
    </row>
    <row r="481" spans="1:4" ht="14.1" customHeight="1">
      <c r="A481" s="15"/>
      <c r="C481" s="15"/>
      <c r="D481" s="15"/>
    </row>
    <row r="482" spans="1:4" ht="14.1" customHeight="1">
      <c r="A482" s="15"/>
      <c r="C482" s="15"/>
      <c r="D482" s="15"/>
    </row>
    <row r="483" spans="1:4" ht="14.1" customHeight="1">
      <c r="A483" s="15"/>
      <c r="C483" s="15"/>
      <c r="D483" s="15"/>
    </row>
    <row r="484" spans="1:4" ht="14.1" customHeight="1">
      <c r="A484" s="15"/>
      <c r="C484" s="15"/>
      <c r="D484" s="15"/>
    </row>
    <row r="485" spans="1:4" ht="14.1" customHeight="1">
      <c r="A485" s="15"/>
      <c r="C485" s="15"/>
      <c r="D485" s="15"/>
    </row>
    <row r="486" spans="1:4" ht="14.1" customHeight="1">
      <c r="A486" s="15"/>
      <c r="C486" s="15"/>
      <c r="D486" s="15"/>
    </row>
    <row r="487" spans="1:4" ht="14.1" customHeight="1">
      <c r="A487" s="15"/>
      <c r="C487" s="15"/>
      <c r="D487" s="15"/>
    </row>
    <row r="488" spans="1:4" ht="14.1" customHeight="1">
      <c r="A488" s="15"/>
      <c r="C488" s="15"/>
      <c r="D488" s="15"/>
    </row>
    <row r="489" spans="1:4" ht="14.1" customHeight="1">
      <c r="A489" s="15"/>
      <c r="C489" s="15"/>
      <c r="D489" s="15"/>
    </row>
    <row r="490" spans="1:4" ht="14.1" customHeight="1">
      <c r="A490" s="15"/>
      <c r="C490" s="15"/>
      <c r="D490" s="15"/>
    </row>
    <row r="491" spans="1:4" ht="14.1" customHeight="1">
      <c r="A491" s="15"/>
      <c r="C491" s="15"/>
      <c r="D491" s="15"/>
    </row>
    <row r="492" spans="1:4" ht="14.1" customHeight="1">
      <c r="A492" s="15"/>
      <c r="C492" s="15"/>
      <c r="D492" s="15"/>
    </row>
    <row r="493" spans="1:4" ht="14.1" customHeight="1">
      <c r="A493" s="15"/>
      <c r="C493" s="15"/>
      <c r="D493" s="15"/>
    </row>
    <row r="494" spans="1:4" ht="14.1" customHeight="1">
      <c r="A494" s="15"/>
      <c r="C494" s="15"/>
      <c r="D494" s="15"/>
    </row>
    <row r="495" spans="1:4" ht="14.1" customHeight="1">
      <c r="A495" s="15"/>
      <c r="C495" s="15"/>
      <c r="D495" s="15"/>
    </row>
    <row r="496" spans="1:4" ht="14.1" customHeight="1">
      <c r="A496" s="15"/>
      <c r="C496" s="15"/>
      <c r="D496" s="15"/>
    </row>
    <row r="497" spans="1:4" ht="14.1" customHeight="1">
      <c r="A497" s="15"/>
      <c r="C497" s="15"/>
      <c r="D497" s="15"/>
    </row>
    <row r="498" spans="1:4" ht="14.1" customHeight="1">
      <c r="A498" s="15"/>
      <c r="C498" s="15"/>
      <c r="D498" s="15"/>
    </row>
    <row r="499" spans="1:4" ht="14.1" customHeight="1">
      <c r="A499" s="15"/>
      <c r="C499" s="15"/>
      <c r="D499" s="15"/>
    </row>
    <row r="500" spans="1:4" ht="14.1" customHeight="1">
      <c r="A500" s="15"/>
      <c r="C500" s="15"/>
      <c r="D500" s="15"/>
    </row>
    <row r="501" spans="1:4" ht="14.1" customHeight="1">
      <c r="A501" s="15"/>
      <c r="C501" s="15"/>
      <c r="D501" s="15"/>
    </row>
    <row r="502" spans="1:4" ht="14.1" customHeight="1">
      <c r="A502" s="15"/>
      <c r="C502" s="15"/>
      <c r="D502" s="15"/>
    </row>
    <row r="503" spans="1:4" ht="14.1" customHeight="1">
      <c r="A503" s="15"/>
      <c r="C503" s="15"/>
      <c r="D503" s="15"/>
    </row>
    <row r="504" spans="1:4" ht="14.1" customHeight="1">
      <c r="A504" s="15"/>
      <c r="C504" s="15"/>
      <c r="D504" s="15"/>
    </row>
    <row r="505" spans="1:4" ht="14.1" customHeight="1">
      <c r="A505" s="15"/>
      <c r="C505" s="15"/>
      <c r="D505" s="15"/>
    </row>
    <row r="506" spans="1:4" ht="14.1" customHeight="1">
      <c r="A506" s="15"/>
      <c r="C506" s="15"/>
      <c r="D506" s="15"/>
    </row>
    <row r="507" spans="1:4" ht="14.1" customHeight="1">
      <c r="A507" s="15"/>
      <c r="C507" s="15"/>
      <c r="D507" s="15"/>
    </row>
    <row r="508" spans="1:4" ht="14.1" customHeight="1">
      <c r="A508" s="15"/>
      <c r="C508" s="15"/>
      <c r="D508" s="15"/>
    </row>
    <row r="509" spans="1:4" ht="14.1" customHeight="1">
      <c r="A509" s="15"/>
      <c r="C509" s="15"/>
      <c r="D509" s="15"/>
    </row>
    <row r="510" spans="1:4" ht="14.1" customHeight="1">
      <c r="A510" s="15"/>
      <c r="C510" s="15"/>
      <c r="D510" s="15"/>
    </row>
    <row r="511" spans="1:4" ht="14.1" customHeight="1">
      <c r="A511" s="15"/>
      <c r="C511" s="15"/>
      <c r="D511" s="15"/>
    </row>
    <row r="512" spans="1:4" ht="14.1" customHeight="1">
      <c r="A512" s="15"/>
      <c r="C512" s="15"/>
      <c r="D512" s="15"/>
    </row>
    <row r="513" spans="1:4" ht="14.1" customHeight="1">
      <c r="A513" s="15"/>
      <c r="C513" s="15"/>
      <c r="D513" s="15"/>
    </row>
    <row r="514" spans="1:4" ht="14.1" customHeight="1">
      <c r="A514" s="15"/>
      <c r="C514" s="15"/>
      <c r="D514" s="15"/>
    </row>
    <row r="515" spans="1:4" ht="14.1" customHeight="1">
      <c r="A515" s="15"/>
      <c r="C515" s="15"/>
      <c r="D515" s="15"/>
    </row>
    <row r="516" spans="1:4" ht="14.1" customHeight="1">
      <c r="A516" s="15"/>
      <c r="C516" s="15"/>
      <c r="D516" s="15"/>
    </row>
    <row r="517" spans="1:4" ht="14.1" customHeight="1">
      <c r="A517" s="15"/>
      <c r="C517" s="15"/>
      <c r="D517" s="15"/>
    </row>
    <row r="518" spans="1:4" ht="14.1" customHeight="1">
      <c r="A518" s="15"/>
      <c r="C518" s="15"/>
      <c r="D518" s="15"/>
    </row>
    <row r="519" spans="1:4" ht="14.1" customHeight="1">
      <c r="A519" s="15"/>
      <c r="C519" s="15"/>
      <c r="D519" s="15"/>
    </row>
    <row r="520" spans="1:4" ht="14.1" customHeight="1">
      <c r="A520" s="15"/>
      <c r="C520" s="15"/>
      <c r="D520" s="15"/>
    </row>
    <row r="521" spans="1:4" ht="14.1" customHeight="1">
      <c r="A521" s="15"/>
      <c r="C521" s="15"/>
      <c r="D521" s="15"/>
    </row>
    <row r="522" spans="1:4" ht="14.1" customHeight="1">
      <c r="A522" s="15"/>
      <c r="C522" s="15"/>
      <c r="D522" s="15"/>
    </row>
    <row r="523" spans="1:4" ht="14.1" customHeight="1">
      <c r="A523" s="15"/>
      <c r="C523" s="15"/>
      <c r="D523" s="15"/>
    </row>
    <row r="524" spans="1:4" ht="14.1" customHeight="1">
      <c r="A524" s="15"/>
      <c r="C524" s="15"/>
      <c r="D524" s="15"/>
    </row>
    <row r="525" spans="1:4" ht="14.1" customHeight="1">
      <c r="A525" s="15"/>
      <c r="C525" s="15"/>
      <c r="D525" s="15"/>
    </row>
    <row r="526" spans="1:4" ht="14.1" customHeight="1">
      <c r="A526" s="15"/>
      <c r="C526" s="15"/>
      <c r="D526" s="15"/>
    </row>
    <row r="527" spans="1:4" ht="14.1" customHeight="1">
      <c r="A527" s="15"/>
      <c r="C527" s="15"/>
      <c r="D527" s="15"/>
    </row>
    <row r="528" spans="1:4" ht="14.1" customHeight="1">
      <c r="A528" s="15"/>
      <c r="C528" s="15"/>
      <c r="D528" s="15"/>
    </row>
    <row r="529" spans="1:4" ht="14.1" customHeight="1">
      <c r="A529" s="15"/>
      <c r="C529" s="15"/>
      <c r="D529" s="15"/>
    </row>
    <row r="530" spans="1:4" ht="14.1" customHeight="1">
      <c r="A530" s="15"/>
      <c r="C530" s="15"/>
      <c r="D530" s="15"/>
    </row>
    <row r="531" spans="1:4" ht="14.1" customHeight="1">
      <c r="A531" s="15"/>
      <c r="C531" s="15"/>
      <c r="D531" s="15"/>
    </row>
    <row r="532" spans="1:4" ht="14.1" customHeight="1">
      <c r="A532" s="15"/>
      <c r="C532" s="15"/>
      <c r="D532" s="15"/>
    </row>
    <row r="533" spans="1:4" ht="14.1" customHeight="1">
      <c r="A533" s="15"/>
      <c r="C533" s="15"/>
      <c r="D533" s="15"/>
    </row>
    <row r="534" spans="1:4" ht="14.1" customHeight="1">
      <c r="A534" s="15"/>
      <c r="C534" s="15"/>
      <c r="D534" s="15"/>
    </row>
    <row r="535" spans="1:4" ht="14.1" customHeight="1">
      <c r="A535" s="15"/>
      <c r="C535" s="15"/>
      <c r="D535" s="15"/>
    </row>
    <row r="536" spans="1:4" ht="14.1" customHeight="1">
      <c r="A536" s="15"/>
      <c r="C536" s="15"/>
      <c r="D536" s="15"/>
    </row>
    <row r="537" spans="1:4" ht="14.1" customHeight="1">
      <c r="A537" s="15"/>
      <c r="C537" s="15"/>
      <c r="D537" s="15"/>
    </row>
    <row r="538" spans="1:4" ht="14.1" customHeight="1">
      <c r="A538" s="15"/>
      <c r="C538" s="15"/>
      <c r="D538" s="15"/>
    </row>
    <row r="539" spans="1:4" ht="14.1" customHeight="1">
      <c r="A539" s="15"/>
      <c r="C539" s="15"/>
      <c r="D539" s="15"/>
    </row>
    <row r="540" spans="1:4" ht="14.1" customHeight="1">
      <c r="A540" s="15"/>
      <c r="C540" s="15"/>
      <c r="D540" s="15"/>
    </row>
    <row r="541" spans="1:4" ht="14.1" customHeight="1">
      <c r="A541" s="15"/>
      <c r="C541" s="15"/>
      <c r="D541" s="15"/>
    </row>
    <row r="542" spans="1:4" ht="14.1" customHeight="1">
      <c r="A542" s="15"/>
      <c r="C542" s="15"/>
      <c r="D542" s="15"/>
    </row>
    <row r="543" spans="1:4" ht="14.1" customHeight="1">
      <c r="A543" s="15"/>
      <c r="C543" s="15"/>
      <c r="D543" s="15"/>
    </row>
    <row r="544" spans="1:4" ht="14.1" customHeight="1">
      <c r="A544" s="15"/>
      <c r="C544" s="15"/>
      <c r="D544" s="15"/>
    </row>
    <row r="545" spans="1:4" ht="14.1" customHeight="1">
      <c r="A545" s="15"/>
      <c r="C545" s="15"/>
      <c r="D545" s="15"/>
    </row>
    <row r="546" spans="1:4" ht="14.1" customHeight="1">
      <c r="A546" s="15"/>
      <c r="C546" s="15"/>
      <c r="D546" s="15"/>
    </row>
    <row r="547" spans="1:4" ht="14.1" customHeight="1">
      <c r="A547" s="15"/>
      <c r="C547" s="15"/>
      <c r="D547" s="15"/>
    </row>
    <row r="548" spans="1:4" ht="14.1" customHeight="1">
      <c r="A548" s="15"/>
      <c r="C548" s="15"/>
      <c r="D548" s="15"/>
    </row>
    <row r="549" spans="1:4" ht="14.1" customHeight="1">
      <c r="A549" s="15"/>
      <c r="C549" s="15"/>
      <c r="D549" s="15"/>
    </row>
    <row r="550" spans="1:4" ht="14.1" customHeight="1">
      <c r="A550" s="15"/>
      <c r="C550" s="15"/>
      <c r="D550" s="15"/>
    </row>
    <row r="551" spans="1:4" ht="14.1" customHeight="1">
      <c r="A551" s="15"/>
      <c r="C551" s="15"/>
      <c r="D551" s="15"/>
    </row>
    <row r="552" spans="1:4" ht="14.1" customHeight="1">
      <c r="A552" s="15"/>
      <c r="C552" s="15"/>
      <c r="D552" s="15"/>
    </row>
    <row r="553" spans="1:4" ht="14.1" customHeight="1">
      <c r="A553" s="15"/>
      <c r="C553" s="15"/>
      <c r="D553" s="15"/>
    </row>
    <row r="554" spans="1:4" ht="14.1" customHeight="1">
      <c r="A554" s="15"/>
      <c r="C554" s="15"/>
      <c r="D554" s="15"/>
    </row>
    <row r="555" spans="1:4" ht="14.1" customHeight="1">
      <c r="A555" s="15"/>
      <c r="C555" s="15"/>
      <c r="D555" s="15"/>
    </row>
    <row r="556" spans="1:4" ht="14.1" customHeight="1">
      <c r="A556" s="15"/>
      <c r="C556" s="15"/>
      <c r="D556" s="15"/>
    </row>
    <row r="557" spans="1:4" ht="14.1" customHeight="1">
      <c r="A557" s="15"/>
      <c r="C557" s="15"/>
      <c r="D557" s="15"/>
    </row>
    <row r="558" spans="1:4" ht="14.1" customHeight="1">
      <c r="A558" s="15"/>
      <c r="C558" s="15"/>
      <c r="D558" s="15"/>
    </row>
    <row r="559" spans="1:4" ht="14.1" customHeight="1">
      <c r="A559" s="15"/>
      <c r="C559" s="15"/>
      <c r="D559" s="15"/>
    </row>
    <row r="560" spans="1:4" ht="14.1" customHeight="1">
      <c r="A560" s="15"/>
      <c r="C560" s="15"/>
      <c r="D560" s="15"/>
    </row>
    <row r="561" spans="1:4" ht="14.1" customHeight="1">
      <c r="A561" s="15"/>
      <c r="C561" s="15"/>
      <c r="D561" s="15"/>
    </row>
    <row r="562" spans="1:4" ht="14.1" customHeight="1">
      <c r="A562" s="15"/>
      <c r="C562" s="15"/>
      <c r="D562" s="15"/>
    </row>
    <row r="563" spans="1:4" ht="14.1" customHeight="1">
      <c r="A563" s="15"/>
      <c r="C563" s="15"/>
      <c r="D563" s="15"/>
    </row>
    <row r="564" spans="1:4" ht="14.1" customHeight="1">
      <c r="A564" s="15"/>
      <c r="C564" s="15"/>
      <c r="D564" s="15"/>
    </row>
    <row r="565" spans="1:4" ht="14.1" customHeight="1">
      <c r="A565" s="15"/>
      <c r="C565" s="15"/>
      <c r="D565" s="15"/>
    </row>
    <row r="566" spans="1:4" ht="14.1" customHeight="1">
      <c r="A566" s="15"/>
      <c r="C566" s="15"/>
      <c r="D566" s="15"/>
    </row>
    <row r="567" spans="1:4" ht="14.1" customHeight="1">
      <c r="A567" s="15"/>
      <c r="C567" s="15"/>
      <c r="D567" s="15"/>
    </row>
    <row r="568" spans="1:4" ht="14.1" customHeight="1">
      <c r="A568" s="15"/>
      <c r="C568" s="15"/>
      <c r="D568" s="15"/>
    </row>
    <row r="569" spans="1:4" ht="14.1" customHeight="1">
      <c r="A569" s="15"/>
      <c r="C569" s="15"/>
      <c r="D569" s="15"/>
    </row>
    <row r="570" spans="1:4" ht="14.1" customHeight="1">
      <c r="A570" s="15"/>
      <c r="C570" s="15"/>
      <c r="D570" s="15"/>
    </row>
    <row r="571" spans="1:4" ht="14.1" customHeight="1">
      <c r="A571" s="15"/>
      <c r="C571" s="15"/>
      <c r="D571" s="15"/>
    </row>
    <row r="572" spans="1:4" ht="14.1" customHeight="1">
      <c r="A572" s="15"/>
      <c r="C572" s="15"/>
      <c r="D572" s="15"/>
    </row>
    <row r="573" spans="1:4" ht="14.1" customHeight="1">
      <c r="A573" s="15"/>
      <c r="C573" s="15"/>
      <c r="D573" s="15"/>
    </row>
    <row r="574" spans="1:4" ht="14.1" customHeight="1">
      <c r="A574" s="15"/>
      <c r="C574" s="15"/>
      <c r="D574" s="15"/>
    </row>
    <row r="575" spans="1:4" ht="14.1" customHeight="1">
      <c r="A575" s="15"/>
      <c r="C575" s="15"/>
      <c r="D575" s="15"/>
    </row>
    <row r="576" spans="1:4" ht="14.1" customHeight="1">
      <c r="A576" s="15"/>
      <c r="C576" s="15"/>
      <c r="D576" s="15"/>
    </row>
    <row r="577" spans="1:4" ht="14.1" customHeight="1">
      <c r="A577" s="15"/>
      <c r="C577" s="15"/>
      <c r="D577" s="15"/>
    </row>
    <row r="578" spans="1:4" ht="14.1" customHeight="1">
      <c r="A578" s="15"/>
      <c r="C578" s="15"/>
      <c r="D578" s="15"/>
    </row>
    <row r="579" spans="1:4" ht="14.1" customHeight="1">
      <c r="A579" s="15"/>
      <c r="C579" s="15"/>
      <c r="D579" s="15"/>
    </row>
    <row r="580" spans="1:4" ht="14.1" customHeight="1">
      <c r="A580" s="15"/>
      <c r="C580" s="15"/>
      <c r="D580" s="15"/>
    </row>
    <row r="581" spans="1:4" ht="14.1" customHeight="1">
      <c r="A581" s="15"/>
      <c r="C581" s="15"/>
      <c r="D581" s="15"/>
    </row>
    <row r="582" spans="1:4" ht="14.1" customHeight="1">
      <c r="A582" s="15"/>
      <c r="C582" s="15"/>
      <c r="D582" s="15"/>
    </row>
    <row r="583" spans="1:4" ht="14.1" customHeight="1">
      <c r="A583" s="15"/>
      <c r="C583" s="15"/>
      <c r="D583" s="15"/>
    </row>
    <row r="584" spans="1:4" ht="14.1" customHeight="1">
      <c r="A584" s="15"/>
      <c r="C584" s="15"/>
      <c r="D584" s="15"/>
    </row>
    <row r="585" spans="1:4" ht="14.1" customHeight="1">
      <c r="A585" s="15"/>
      <c r="C585" s="15"/>
      <c r="D585" s="15"/>
    </row>
    <row r="586" spans="1:4" ht="14.1" customHeight="1">
      <c r="A586" s="15"/>
      <c r="C586" s="15"/>
      <c r="D586" s="15"/>
    </row>
    <row r="587" spans="1:4" ht="14.1" customHeight="1">
      <c r="A587" s="15"/>
      <c r="C587" s="15"/>
      <c r="D587" s="15"/>
    </row>
    <row r="588" spans="1:4" ht="14.1" customHeight="1">
      <c r="A588" s="15"/>
      <c r="C588" s="15"/>
      <c r="D588" s="15"/>
    </row>
    <row r="589" spans="1:4" ht="14.1" customHeight="1">
      <c r="A589" s="15"/>
      <c r="C589" s="15"/>
      <c r="D589" s="15"/>
    </row>
    <row r="590" spans="1:4" ht="14.1" customHeight="1">
      <c r="A590" s="15"/>
      <c r="C590" s="15"/>
      <c r="D590" s="15"/>
    </row>
    <row r="591" spans="1:4" ht="14.1" customHeight="1">
      <c r="A591" s="15"/>
      <c r="C591" s="15"/>
      <c r="D591" s="15"/>
    </row>
    <row r="592" spans="1:4" ht="14.1" customHeight="1">
      <c r="A592" s="15"/>
      <c r="C592" s="15"/>
      <c r="D592" s="15"/>
    </row>
    <row r="593" spans="1:4" ht="14.1" customHeight="1">
      <c r="A593" s="15"/>
      <c r="C593" s="15"/>
      <c r="D593" s="15"/>
    </row>
    <row r="594" spans="1:4" ht="14.1" customHeight="1">
      <c r="A594" s="15"/>
      <c r="C594" s="15"/>
      <c r="D594" s="15"/>
    </row>
    <row r="595" spans="1:4" ht="14.1" customHeight="1">
      <c r="A595" s="15"/>
      <c r="C595" s="15"/>
      <c r="D595" s="15"/>
    </row>
    <row r="596" spans="1:4" ht="14.1" customHeight="1">
      <c r="A596" s="15"/>
      <c r="C596" s="15"/>
      <c r="D596" s="15"/>
    </row>
    <row r="597" spans="1:4" ht="14.1" customHeight="1">
      <c r="A597" s="15"/>
      <c r="C597" s="15"/>
      <c r="D597" s="15"/>
    </row>
    <row r="598" spans="1:4" ht="14.1" customHeight="1">
      <c r="A598" s="15"/>
      <c r="C598" s="15"/>
      <c r="D598" s="15"/>
    </row>
    <row r="599" spans="1:4" ht="14.1" customHeight="1">
      <c r="A599" s="15"/>
      <c r="C599" s="15"/>
      <c r="D599" s="15"/>
    </row>
    <row r="600" spans="1:4" ht="14.1" customHeight="1">
      <c r="A600" s="15"/>
      <c r="C600" s="15"/>
      <c r="D600" s="15"/>
    </row>
    <row r="601" spans="1:4" ht="14.1" customHeight="1">
      <c r="A601" s="15"/>
      <c r="C601" s="15"/>
      <c r="D601" s="15"/>
    </row>
    <row r="602" spans="1:4" ht="14.1" customHeight="1">
      <c r="A602" s="15"/>
      <c r="C602" s="15"/>
      <c r="D602" s="15"/>
    </row>
    <row r="603" spans="1:4" ht="14.1" customHeight="1">
      <c r="A603" s="15"/>
      <c r="C603" s="15"/>
      <c r="D603" s="15"/>
    </row>
    <row r="604" spans="1:4" ht="14.1" customHeight="1">
      <c r="A604" s="15"/>
      <c r="C604" s="15"/>
      <c r="D604" s="15"/>
    </row>
    <row r="605" spans="1:4" ht="14.1" customHeight="1">
      <c r="A605" s="15"/>
      <c r="C605" s="15"/>
      <c r="D605" s="15"/>
    </row>
    <row r="606" spans="1:4" ht="14.1" customHeight="1">
      <c r="A606" s="15"/>
      <c r="C606" s="15"/>
      <c r="D606" s="15"/>
    </row>
    <row r="607" spans="1:4" ht="14.1" customHeight="1">
      <c r="A607" s="15"/>
      <c r="C607" s="15"/>
      <c r="D607" s="15"/>
    </row>
    <row r="608" spans="1:4" ht="14.1" customHeight="1">
      <c r="A608" s="15"/>
      <c r="C608" s="15"/>
      <c r="D608" s="15"/>
    </row>
    <row r="609" spans="1:4" ht="14.1" customHeight="1">
      <c r="A609" s="15"/>
      <c r="C609" s="15"/>
      <c r="D609" s="15"/>
    </row>
    <row r="610" spans="1:4" ht="14.1" customHeight="1">
      <c r="A610" s="15"/>
      <c r="C610" s="15"/>
      <c r="D610" s="15"/>
    </row>
    <row r="611" spans="1:4" ht="14.1" customHeight="1">
      <c r="A611" s="15"/>
      <c r="C611" s="15"/>
      <c r="D611" s="15"/>
    </row>
    <row r="612" spans="1:4" ht="14.1" customHeight="1">
      <c r="A612" s="15"/>
      <c r="C612" s="15"/>
      <c r="D612" s="15"/>
    </row>
    <row r="613" spans="1:4" ht="14.1" customHeight="1">
      <c r="A613" s="15"/>
      <c r="C613" s="15"/>
      <c r="D613" s="15"/>
    </row>
    <row r="614" spans="1:4" ht="14.1" customHeight="1">
      <c r="A614" s="15"/>
      <c r="C614" s="15"/>
      <c r="D614" s="15"/>
    </row>
    <row r="615" spans="1:4" ht="14.1" customHeight="1">
      <c r="A615" s="15"/>
      <c r="C615" s="15"/>
      <c r="D615" s="15"/>
    </row>
    <row r="616" spans="1:4" ht="14.1" customHeight="1">
      <c r="A616" s="15"/>
      <c r="C616" s="15"/>
      <c r="D616" s="15"/>
    </row>
    <row r="617" spans="1:4" ht="14.1" customHeight="1">
      <c r="A617" s="15"/>
      <c r="C617" s="15"/>
      <c r="D617" s="15"/>
    </row>
    <row r="618" spans="1:4" ht="14.1" customHeight="1">
      <c r="A618" s="15"/>
      <c r="C618" s="15"/>
      <c r="D618" s="15"/>
    </row>
    <row r="619" spans="1:4" ht="14.1" customHeight="1">
      <c r="A619" s="15"/>
      <c r="C619" s="15"/>
      <c r="D619" s="15"/>
    </row>
    <row r="620" spans="1:4" ht="14.1" customHeight="1">
      <c r="A620" s="15"/>
      <c r="C620" s="15"/>
      <c r="D620" s="15"/>
    </row>
    <row r="621" spans="1:4" ht="14.1" customHeight="1">
      <c r="A621" s="15"/>
      <c r="C621" s="15"/>
      <c r="D621" s="15"/>
    </row>
    <row r="622" spans="1:4" ht="14.1" customHeight="1">
      <c r="A622" s="15"/>
      <c r="C622" s="15"/>
      <c r="D622" s="15"/>
    </row>
    <row r="623" spans="1:4" ht="14.1" customHeight="1">
      <c r="A623" s="15"/>
      <c r="C623" s="15"/>
      <c r="D623" s="15"/>
    </row>
    <row r="624" spans="1:4" ht="14.1" customHeight="1">
      <c r="A624" s="15"/>
      <c r="C624" s="15"/>
      <c r="D624" s="15"/>
    </row>
    <row r="625" spans="1:4" ht="14.1" customHeight="1">
      <c r="A625" s="15"/>
      <c r="C625" s="15"/>
      <c r="D625" s="15"/>
    </row>
    <row r="626" spans="1:4" ht="14.1" customHeight="1">
      <c r="A626" s="15"/>
      <c r="C626" s="15"/>
      <c r="D626" s="15"/>
    </row>
    <row r="627" spans="1:4" ht="14.1" customHeight="1">
      <c r="A627" s="15"/>
      <c r="C627" s="15"/>
      <c r="D627" s="15"/>
    </row>
    <row r="628" spans="1:4" ht="14.1" customHeight="1">
      <c r="A628" s="15"/>
      <c r="C628" s="15"/>
      <c r="D628" s="15"/>
    </row>
    <row r="629" spans="1:4" ht="14.1" customHeight="1">
      <c r="A629" s="15"/>
      <c r="C629" s="15"/>
      <c r="D629" s="15"/>
    </row>
    <row r="630" spans="1:4" ht="14.1" customHeight="1">
      <c r="A630" s="15"/>
      <c r="C630" s="15"/>
      <c r="D630" s="15"/>
    </row>
    <row r="631" spans="1:4" ht="14.1" customHeight="1">
      <c r="A631" s="15"/>
      <c r="C631" s="15"/>
      <c r="D631" s="15"/>
    </row>
    <row r="632" spans="1:4" ht="14.1" customHeight="1">
      <c r="A632" s="15"/>
      <c r="C632" s="15"/>
      <c r="D632" s="15"/>
    </row>
    <row r="633" spans="1:4" ht="14.1" customHeight="1">
      <c r="A633" s="15"/>
      <c r="C633" s="15"/>
      <c r="D633" s="15"/>
    </row>
    <row r="634" spans="1:4" ht="14.1" customHeight="1">
      <c r="A634" s="15"/>
      <c r="C634" s="15"/>
      <c r="D634" s="15"/>
    </row>
    <row r="635" spans="1:4" ht="14.1" customHeight="1">
      <c r="A635" s="15"/>
      <c r="C635" s="15"/>
      <c r="D635" s="15"/>
    </row>
    <row r="636" spans="1:4" ht="14.1" customHeight="1">
      <c r="A636" s="15"/>
      <c r="C636" s="15"/>
      <c r="D636" s="15"/>
    </row>
    <row r="637" spans="1:4" ht="14.1" customHeight="1">
      <c r="A637" s="15"/>
      <c r="C637" s="15"/>
      <c r="D637" s="15"/>
    </row>
    <row r="638" spans="1:4" ht="14.1" customHeight="1">
      <c r="A638" s="15"/>
      <c r="C638" s="15"/>
      <c r="D638" s="15"/>
    </row>
    <row r="639" spans="1:4" ht="14.1" customHeight="1">
      <c r="A639" s="15"/>
      <c r="C639" s="15"/>
      <c r="D639" s="15"/>
    </row>
    <row r="640" spans="1:4" ht="14.1" customHeight="1">
      <c r="A640" s="15"/>
      <c r="C640" s="15"/>
      <c r="D640" s="15"/>
    </row>
    <row r="641" spans="1:4" ht="14.1" customHeight="1">
      <c r="A641" s="15"/>
      <c r="C641" s="15"/>
      <c r="D641" s="15"/>
    </row>
    <row r="642" spans="1:4" ht="14.1" customHeight="1">
      <c r="A642" s="15"/>
      <c r="C642" s="15"/>
      <c r="D642" s="15"/>
    </row>
    <row r="643" spans="1:4" ht="14.1" customHeight="1">
      <c r="A643" s="15"/>
      <c r="C643" s="15"/>
      <c r="D643" s="15"/>
    </row>
    <row r="644" spans="1:4" ht="14.1" customHeight="1">
      <c r="A644" s="15"/>
      <c r="C644" s="15"/>
      <c r="D644" s="15"/>
    </row>
    <row r="645" spans="1:4" ht="14.1" customHeight="1">
      <c r="A645" s="15"/>
      <c r="C645" s="15"/>
      <c r="D645" s="15"/>
    </row>
    <row r="646" spans="1:4" ht="14.1" customHeight="1">
      <c r="A646" s="15"/>
      <c r="C646" s="15"/>
      <c r="D646" s="15"/>
    </row>
    <row r="647" spans="1:4" ht="14.1" customHeight="1">
      <c r="A647" s="15"/>
      <c r="C647" s="15"/>
      <c r="D647" s="15"/>
    </row>
    <row r="648" spans="1:4" ht="14.1" customHeight="1">
      <c r="A648" s="15"/>
      <c r="C648" s="15"/>
      <c r="D648" s="15"/>
    </row>
    <row r="649" spans="1:4" ht="14.1" customHeight="1">
      <c r="A649" s="15"/>
      <c r="C649" s="15"/>
      <c r="D649" s="15"/>
    </row>
    <row r="650" spans="1:4" ht="14.1" customHeight="1">
      <c r="A650" s="15"/>
      <c r="C650" s="15"/>
      <c r="D650" s="15"/>
    </row>
    <row r="651" spans="1:4" ht="14.1" customHeight="1">
      <c r="A651" s="15"/>
      <c r="C651" s="15"/>
      <c r="D651" s="15"/>
    </row>
    <row r="652" spans="1:4" ht="14.1" customHeight="1">
      <c r="A652" s="15"/>
      <c r="C652" s="15"/>
      <c r="D652" s="15"/>
    </row>
    <row r="653" spans="1:4" ht="14.1" customHeight="1">
      <c r="A653" s="15"/>
      <c r="C653" s="15"/>
      <c r="D653" s="15"/>
    </row>
    <row r="654" spans="1:4" ht="14.1" customHeight="1">
      <c r="A654" s="15"/>
      <c r="C654" s="15"/>
      <c r="D654" s="15"/>
    </row>
    <row r="655" spans="1:4" ht="14.1" customHeight="1">
      <c r="A655" s="15"/>
      <c r="C655" s="15"/>
      <c r="D655" s="15"/>
    </row>
    <row r="656" spans="1:4" ht="14.1" customHeight="1">
      <c r="A656" s="15"/>
      <c r="C656" s="15"/>
      <c r="D656" s="15"/>
    </row>
    <row r="657" spans="1:4" ht="14.1" customHeight="1">
      <c r="A657" s="15"/>
      <c r="C657" s="15"/>
      <c r="D657" s="15"/>
    </row>
    <row r="658" spans="1:4" ht="14.1" customHeight="1">
      <c r="A658" s="15"/>
      <c r="C658" s="15"/>
      <c r="D658" s="15"/>
    </row>
    <row r="659" spans="1:4" ht="14.1" customHeight="1">
      <c r="A659" s="15"/>
      <c r="C659" s="15"/>
      <c r="D659" s="15"/>
    </row>
    <row r="660" spans="1:4" ht="14.1" customHeight="1">
      <c r="A660" s="15"/>
      <c r="C660" s="15"/>
      <c r="D660" s="15"/>
    </row>
    <row r="661" spans="1:4" ht="14.1" customHeight="1">
      <c r="A661" s="15"/>
      <c r="C661" s="15"/>
      <c r="D661" s="15"/>
    </row>
    <row r="662" spans="1:4" ht="14.1" customHeight="1">
      <c r="A662" s="15"/>
      <c r="C662" s="15"/>
      <c r="D662" s="15"/>
    </row>
    <row r="663" spans="1:4" ht="14.1" customHeight="1">
      <c r="A663" s="15"/>
      <c r="C663" s="15"/>
      <c r="D663" s="15"/>
    </row>
    <row r="664" spans="1:4" ht="14.1" customHeight="1">
      <c r="A664" s="15"/>
      <c r="C664" s="15"/>
      <c r="D664" s="15"/>
    </row>
    <row r="665" spans="1:4" ht="14.1" customHeight="1">
      <c r="A665" s="15"/>
      <c r="C665" s="15"/>
      <c r="D665" s="15"/>
    </row>
    <row r="666" spans="1:4" ht="14.1" customHeight="1">
      <c r="A666" s="15"/>
      <c r="C666" s="15"/>
      <c r="D666" s="15"/>
    </row>
    <row r="667" spans="1:4" ht="14.1" customHeight="1">
      <c r="A667" s="15"/>
      <c r="C667" s="15"/>
      <c r="D667" s="15"/>
    </row>
    <row r="668" spans="1:4" ht="14.1" customHeight="1">
      <c r="A668" s="15"/>
      <c r="C668" s="15"/>
      <c r="D668" s="15"/>
    </row>
    <row r="669" spans="1:4" ht="14.1" customHeight="1">
      <c r="A669" s="15"/>
      <c r="C669" s="15"/>
      <c r="D669" s="15"/>
    </row>
    <row r="670" spans="1:4" ht="14.1" customHeight="1">
      <c r="A670" s="15"/>
      <c r="C670" s="15"/>
      <c r="D670" s="15"/>
    </row>
    <row r="671" spans="1:4" ht="14.1" customHeight="1">
      <c r="A671" s="15"/>
      <c r="C671" s="15"/>
      <c r="D671" s="15"/>
    </row>
    <row r="672" spans="1:4" ht="14.1" customHeight="1">
      <c r="A672" s="15"/>
      <c r="C672" s="15"/>
      <c r="D672" s="15"/>
    </row>
    <row r="673" spans="1:4" ht="14.1" customHeight="1">
      <c r="A673" s="15"/>
      <c r="C673" s="15"/>
      <c r="D673" s="15"/>
    </row>
    <row r="674" spans="1:4" ht="14.1" customHeight="1">
      <c r="A674" s="15"/>
      <c r="C674" s="15"/>
      <c r="D674" s="15"/>
    </row>
    <row r="675" spans="1:4" ht="14.1" customHeight="1">
      <c r="A675" s="15"/>
      <c r="C675" s="15"/>
      <c r="D675" s="15"/>
    </row>
    <row r="676" spans="1:4" ht="14.1" customHeight="1">
      <c r="A676" s="15"/>
      <c r="C676" s="15"/>
      <c r="D676" s="15"/>
    </row>
    <row r="677" spans="1:4" ht="14.1" customHeight="1">
      <c r="A677" s="15"/>
      <c r="C677" s="15"/>
      <c r="D677" s="15"/>
    </row>
    <row r="678" spans="1:4" ht="14.1" customHeight="1">
      <c r="A678" s="15"/>
      <c r="C678" s="15"/>
      <c r="D678" s="15"/>
    </row>
    <row r="679" spans="1:4" ht="14.1" customHeight="1">
      <c r="A679" s="15"/>
      <c r="C679" s="15"/>
      <c r="D679" s="15"/>
    </row>
    <row r="680" spans="1:4" ht="14.1" customHeight="1">
      <c r="A680" s="15"/>
      <c r="C680" s="15"/>
      <c r="D680" s="15"/>
    </row>
    <row r="681" spans="1:4" ht="14.1" customHeight="1">
      <c r="A681" s="15"/>
      <c r="C681" s="15"/>
      <c r="D681" s="15"/>
    </row>
    <row r="682" spans="1:4" ht="14.1" customHeight="1">
      <c r="A682" s="15"/>
      <c r="C682" s="15"/>
      <c r="D682" s="15"/>
    </row>
    <row r="683" spans="1:4" ht="14.1" customHeight="1">
      <c r="A683" s="15"/>
      <c r="C683" s="15"/>
      <c r="D683" s="15"/>
    </row>
    <row r="684" spans="1:4" ht="14.1" customHeight="1">
      <c r="A684" s="15"/>
      <c r="C684" s="15"/>
      <c r="D684" s="15"/>
    </row>
    <row r="685" spans="1:4" ht="14.1" customHeight="1">
      <c r="A685" s="15"/>
      <c r="C685" s="15"/>
      <c r="D685" s="15"/>
    </row>
    <row r="686" spans="1:4" ht="14.1" customHeight="1">
      <c r="A686" s="15"/>
      <c r="C686" s="15"/>
      <c r="D686" s="15"/>
    </row>
    <row r="687" spans="1:4" ht="14.1" customHeight="1">
      <c r="A687" s="15"/>
      <c r="C687" s="15"/>
      <c r="D687" s="15"/>
    </row>
    <row r="688" spans="1:4" ht="14.1" customHeight="1">
      <c r="A688" s="15"/>
      <c r="C688" s="15"/>
      <c r="D688" s="15"/>
    </row>
    <row r="689" spans="1:4" ht="14.1" customHeight="1">
      <c r="A689" s="15"/>
      <c r="C689" s="15"/>
      <c r="D689" s="15"/>
    </row>
    <row r="690" spans="1:4" ht="14.1" customHeight="1">
      <c r="A690" s="15"/>
      <c r="C690" s="15"/>
      <c r="D690" s="15"/>
    </row>
    <row r="691" spans="1:4" ht="14.1" customHeight="1">
      <c r="A691" s="15"/>
      <c r="C691" s="15"/>
      <c r="D691" s="15"/>
    </row>
    <row r="692" spans="1:4" ht="14.1" customHeight="1">
      <c r="A692" s="15"/>
      <c r="C692" s="15"/>
      <c r="D692" s="15"/>
    </row>
    <row r="693" spans="1:4" ht="14.1" customHeight="1">
      <c r="A693" s="15"/>
      <c r="C693" s="15"/>
      <c r="D693" s="15"/>
    </row>
    <row r="694" spans="1:4" ht="14.1" customHeight="1">
      <c r="A694" s="15"/>
      <c r="C694" s="15"/>
      <c r="D694" s="15"/>
    </row>
    <row r="695" spans="1:4" ht="14.1" customHeight="1">
      <c r="A695" s="15"/>
      <c r="C695" s="15"/>
      <c r="D695" s="15"/>
    </row>
    <row r="696" spans="1:4" ht="14.1" customHeight="1">
      <c r="A696" s="15"/>
      <c r="C696" s="15"/>
      <c r="D696" s="15"/>
    </row>
    <row r="697" spans="1:4" ht="14.1" customHeight="1">
      <c r="A697" s="15"/>
      <c r="C697" s="15"/>
      <c r="D697" s="15"/>
    </row>
    <row r="698" spans="1:4" ht="14.1" customHeight="1">
      <c r="A698" s="15"/>
      <c r="C698" s="15"/>
      <c r="D698" s="15"/>
    </row>
    <row r="699" spans="1:4" ht="14.1" customHeight="1">
      <c r="A699" s="15"/>
      <c r="C699" s="15"/>
      <c r="D699" s="15"/>
    </row>
    <row r="700" spans="1:4" ht="14.1" customHeight="1">
      <c r="A700" s="15"/>
      <c r="C700" s="15"/>
      <c r="D700" s="15"/>
    </row>
    <row r="701" spans="1:4" ht="14.1" customHeight="1">
      <c r="A701" s="15"/>
      <c r="C701" s="15"/>
      <c r="D701" s="15"/>
    </row>
    <row r="702" spans="1:4" ht="14.1" customHeight="1">
      <c r="A702" s="15"/>
      <c r="C702" s="15"/>
      <c r="D702" s="15"/>
    </row>
    <row r="703" spans="1:4" ht="14.1" customHeight="1">
      <c r="A703" s="15"/>
      <c r="C703" s="15"/>
      <c r="D703" s="15"/>
    </row>
    <row r="704" spans="1:4" ht="14.1" customHeight="1">
      <c r="A704" s="15"/>
      <c r="C704" s="15"/>
      <c r="D704" s="15"/>
    </row>
    <row r="705" spans="1:4" ht="14.1" customHeight="1">
      <c r="A705" s="15"/>
      <c r="C705" s="15"/>
      <c r="D705" s="15"/>
    </row>
    <row r="706" spans="1:4" ht="14.1" customHeight="1">
      <c r="A706" s="15"/>
      <c r="C706" s="15"/>
      <c r="D706" s="15"/>
    </row>
    <row r="707" spans="1:4" ht="14.1" customHeight="1">
      <c r="A707" s="15"/>
      <c r="C707" s="15"/>
      <c r="D707" s="15"/>
    </row>
    <row r="708" spans="1:4" ht="14.1" customHeight="1">
      <c r="A708" s="15"/>
      <c r="C708" s="15"/>
      <c r="D708" s="15"/>
    </row>
    <row r="709" spans="1:4" ht="14.1" customHeight="1">
      <c r="A709" s="15"/>
      <c r="C709" s="15"/>
      <c r="D709" s="15"/>
    </row>
    <row r="710" spans="1:4" ht="14.1" customHeight="1">
      <c r="A710" s="15"/>
      <c r="C710" s="15"/>
      <c r="D710" s="15"/>
    </row>
    <row r="711" spans="1:4" ht="14.1" customHeight="1">
      <c r="A711" s="15"/>
      <c r="C711" s="15"/>
      <c r="D711" s="15"/>
    </row>
    <row r="712" spans="1:4" ht="14.1" customHeight="1">
      <c r="A712" s="15"/>
      <c r="C712" s="15"/>
      <c r="D712" s="15"/>
    </row>
    <row r="713" spans="1:4" ht="14.1" customHeight="1">
      <c r="A713" s="15"/>
      <c r="C713" s="15"/>
      <c r="D713" s="15"/>
    </row>
    <row r="714" spans="1:4" ht="14.1" customHeight="1">
      <c r="A714" s="15"/>
      <c r="C714" s="15"/>
      <c r="D714" s="15"/>
    </row>
    <row r="715" spans="1:4" ht="14.1" customHeight="1">
      <c r="A715" s="15"/>
      <c r="C715" s="15"/>
      <c r="D715" s="15"/>
    </row>
    <row r="716" spans="1:4" ht="14.1" customHeight="1">
      <c r="A716" s="15"/>
      <c r="C716" s="15"/>
      <c r="D716" s="15"/>
    </row>
    <row r="717" spans="1:4" ht="14.1" customHeight="1">
      <c r="A717" s="15"/>
      <c r="C717" s="15"/>
      <c r="D717" s="15"/>
    </row>
    <row r="718" spans="1:4" ht="14.1" customHeight="1">
      <c r="A718" s="15"/>
      <c r="C718" s="15"/>
      <c r="D718" s="15"/>
    </row>
    <row r="719" spans="1:4" ht="14.1" customHeight="1">
      <c r="A719" s="15"/>
      <c r="C719" s="15"/>
      <c r="D719" s="15"/>
    </row>
    <row r="720" spans="1:4" ht="14.1" customHeight="1">
      <c r="A720" s="15"/>
      <c r="C720" s="15"/>
      <c r="D720" s="15"/>
    </row>
    <row r="721" spans="1:4" ht="14.1" customHeight="1">
      <c r="A721" s="15"/>
      <c r="C721" s="15"/>
      <c r="D721" s="15"/>
    </row>
    <row r="722" spans="1:4" ht="14.1" customHeight="1">
      <c r="A722" s="15"/>
      <c r="C722" s="15"/>
      <c r="D722" s="15"/>
    </row>
    <row r="723" spans="1:4" ht="14.1" customHeight="1">
      <c r="A723" s="15"/>
      <c r="C723" s="15"/>
      <c r="D723" s="15"/>
    </row>
    <row r="724" spans="1:4" ht="14.1" customHeight="1">
      <c r="A724" s="15"/>
      <c r="C724" s="15"/>
      <c r="D724" s="15"/>
    </row>
    <row r="725" spans="1:4" ht="14.1" customHeight="1">
      <c r="A725" s="15"/>
      <c r="C725" s="15"/>
      <c r="D725" s="15"/>
    </row>
    <row r="726" spans="1:4" ht="14.1" customHeight="1">
      <c r="A726" s="15"/>
      <c r="C726" s="15"/>
      <c r="D726" s="15"/>
    </row>
    <row r="727" spans="1:4" ht="14.1" customHeight="1">
      <c r="A727" s="15"/>
      <c r="C727" s="15"/>
      <c r="D727" s="15"/>
    </row>
    <row r="728" spans="1:4" ht="14.1" customHeight="1">
      <c r="A728" s="15"/>
      <c r="C728" s="15"/>
      <c r="D728" s="15"/>
    </row>
    <row r="729" spans="1:4" ht="14.1" customHeight="1">
      <c r="A729" s="15"/>
      <c r="C729" s="15"/>
      <c r="D729" s="15"/>
    </row>
    <row r="730" spans="1:4" ht="14.1" customHeight="1">
      <c r="A730" s="15"/>
      <c r="C730" s="15"/>
      <c r="D730" s="15"/>
    </row>
    <row r="731" spans="1:4" ht="14.1" customHeight="1">
      <c r="A731" s="15"/>
      <c r="C731" s="15"/>
      <c r="D731" s="15"/>
    </row>
    <row r="732" spans="1:4" ht="14.1" customHeight="1">
      <c r="A732" s="15"/>
      <c r="C732" s="15"/>
      <c r="D732" s="15"/>
    </row>
    <row r="733" spans="1:4" ht="14.1" customHeight="1">
      <c r="A733" s="15"/>
      <c r="C733" s="15"/>
      <c r="D733" s="15"/>
    </row>
    <row r="734" spans="1:4" ht="14.1" customHeight="1">
      <c r="A734" s="15"/>
      <c r="C734" s="15"/>
      <c r="D734" s="15"/>
    </row>
    <row r="735" spans="1:4" ht="14.1" customHeight="1">
      <c r="A735" s="15"/>
      <c r="C735" s="15"/>
      <c r="D735" s="15"/>
    </row>
    <row r="736" spans="1:4" ht="14.1" customHeight="1">
      <c r="A736" s="15"/>
      <c r="C736" s="15"/>
      <c r="D736" s="15"/>
    </row>
    <row r="737" spans="1:4" ht="14.1" customHeight="1">
      <c r="A737" s="15"/>
      <c r="C737" s="15"/>
      <c r="D737" s="15"/>
    </row>
    <row r="738" spans="1:4" ht="14.1" customHeight="1">
      <c r="A738" s="15"/>
      <c r="C738" s="15"/>
      <c r="D738" s="15"/>
    </row>
    <row r="739" spans="1:4" ht="14.1" customHeight="1">
      <c r="A739" s="15"/>
      <c r="C739" s="15"/>
      <c r="D739" s="15"/>
    </row>
    <row r="740" spans="1:4" ht="14.1" customHeight="1">
      <c r="A740" s="15"/>
      <c r="C740" s="15"/>
      <c r="D740" s="15"/>
    </row>
    <row r="741" spans="1:4" ht="14.1" customHeight="1">
      <c r="A741" s="15"/>
      <c r="C741" s="15"/>
      <c r="D741" s="15"/>
    </row>
    <row r="742" spans="1:4" ht="14.1" customHeight="1">
      <c r="A742" s="15"/>
      <c r="C742" s="15"/>
      <c r="D742" s="15"/>
    </row>
    <row r="743" spans="1:4" ht="14.1" customHeight="1">
      <c r="A743" s="15"/>
      <c r="C743" s="15"/>
      <c r="D743" s="15"/>
    </row>
    <row r="744" spans="1:4" ht="14.1" customHeight="1">
      <c r="A744" s="15"/>
      <c r="C744" s="15"/>
      <c r="D744" s="15"/>
    </row>
    <row r="745" spans="1:4" ht="14.1" customHeight="1">
      <c r="A745" s="15"/>
      <c r="C745" s="15"/>
      <c r="D745" s="15"/>
    </row>
    <row r="746" spans="1:4" ht="14.1" customHeight="1">
      <c r="A746" s="15"/>
      <c r="C746" s="15"/>
      <c r="D746" s="15"/>
    </row>
    <row r="747" spans="1:4" ht="14.1" customHeight="1">
      <c r="A747" s="15"/>
      <c r="C747" s="15"/>
      <c r="D747" s="15"/>
    </row>
    <row r="748" spans="1:4" ht="14.1" customHeight="1">
      <c r="A748" s="15"/>
      <c r="C748" s="15"/>
      <c r="D748" s="15"/>
    </row>
    <row r="749" spans="1:4" ht="14.1" customHeight="1">
      <c r="A749" s="15"/>
      <c r="C749" s="15"/>
      <c r="D749" s="15"/>
    </row>
    <row r="750" spans="1:4" ht="14.1" customHeight="1">
      <c r="A750" s="15"/>
      <c r="C750" s="15"/>
      <c r="D750" s="15"/>
    </row>
    <row r="751" spans="1:4" ht="14.1" customHeight="1">
      <c r="A751" s="15"/>
      <c r="C751" s="15"/>
      <c r="D751" s="15"/>
    </row>
    <row r="752" spans="1:4" ht="14.1" customHeight="1">
      <c r="A752" s="15"/>
      <c r="C752" s="15"/>
      <c r="D752" s="15"/>
    </row>
    <row r="753" spans="1:4" ht="14.1" customHeight="1">
      <c r="A753" s="15"/>
      <c r="C753" s="15"/>
      <c r="D753" s="15"/>
    </row>
    <row r="754" spans="1:4" ht="14.1" customHeight="1">
      <c r="A754" s="15"/>
      <c r="C754" s="15"/>
      <c r="D754" s="15"/>
    </row>
    <row r="755" spans="1:4" ht="14.1" customHeight="1">
      <c r="A755" s="15"/>
      <c r="C755" s="15"/>
      <c r="D755" s="15"/>
    </row>
    <row r="756" spans="1:4" ht="14.1" customHeight="1">
      <c r="A756" s="15"/>
      <c r="C756" s="15"/>
      <c r="D756" s="15"/>
    </row>
    <row r="757" spans="1:4" ht="14.1" customHeight="1">
      <c r="A757" s="15"/>
      <c r="C757" s="15"/>
      <c r="D757" s="15"/>
    </row>
    <row r="758" spans="1:4" ht="14.1" customHeight="1">
      <c r="A758" s="15"/>
      <c r="C758" s="15"/>
      <c r="D758" s="15"/>
    </row>
    <row r="759" spans="1:4" ht="14.1" customHeight="1">
      <c r="A759" s="15"/>
      <c r="C759" s="15"/>
      <c r="D759" s="15"/>
    </row>
    <row r="760" spans="1:4" ht="14.1" customHeight="1">
      <c r="A760" s="15"/>
      <c r="C760" s="15"/>
      <c r="D760" s="15"/>
    </row>
    <row r="761" spans="1:4" ht="14.1" customHeight="1">
      <c r="A761" s="15"/>
      <c r="C761" s="15"/>
      <c r="D761" s="15"/>
    </row>
    <row r="762" spans="1:4" ht="14.1" customHeight="1">
      <c r="A762" s="15"/>
      <c r="C762" s="15"/>
      <c r="D762" s="15"/>
    </row>
    <row r="763" spans="1:4" ht="14.1" customHeight="1">
      <c r="A763" s="15"/>
      <c r="C763" s="15"/>
      <c r="D763" s="15"/>
    </row>
    <row r="764" spans="1:4" ht="14.1" customHeight="1">
      <c r="A764" s="15"/>
      <c r="C764" s="15"/>
      <c r="D764" s="15"/>
    </row>
    <row r="765" spans="1:4" ht="14.1" customHeight="1">
      <c r="A765" s="15"/>
      <c r="C765" s="15"/>
      <c r="D765" s="15"/>
    </row>
    <row r="766" spans="1:4" ht="14.1" customHeight="1">
      <c r="A766" s="15"/>
      <c r="C766" s="15"/>
      <c r="D766" s="15"/>
    </row>
    <row r="767" spans="1:4" ht="14.1" customHeight="1">
      <c r="A767" s="15"/>
      <c r="C767" s="15"/>
      <c r="D767" s="15"/>
    </row>
    <row r="768" spans="1:4" ht="14.1" customHeight="1">
      <c r="A768" s="15"/>
      <c r="C768" s="15"/>
      <c r="D768" s="15"/>
    </row>
    <row r="769" spans="1:4" ht="14.1" customHeight="1">
      <c r="A769" s="15"/>
      <c r="C769" s="15"/>
      <c r="D769" s="15"/>
    </row>
    <row r="770" spans="1:4" ht="14.1" customHeight="1">
      <c r="A770" s="15"/>
      <c r="C770" s="15"/>
      <c r="D770" s="15"/>
    </row>
    <row r="771" spans="1:4" ht="14.1" customHeight="1">
      <c r="A771" s="15"/>
      <c r="C771" s="15"/>
      <c r="D771" s="15"/>
    </row>
    <row r="772" spans="1:4" ht="14.1" customHeight="1">
      <c r="A772" s="15"/>
      <c r="C772" s="15"/>
      <c r="D772" s="15"/>
    </row>
    <row r="773" spans="1:4" ht="14.1" customHeight="1">
      <c r="A773" s="15"/>
      <c r="C773" s="15"/>
      <c r="D773" s="15"/>
    </row>
    <row r="774" spans="1:4" ht="14.1" customHeight="1">
      <c r="A774" s="15"/>
      <c r="C774" s="15"/>
      <c r="D774" s="15"/>
    </row>
    <row r="775" spans="1:4" ht="14.1" customHeight="1">
      <c r="A775" s="15"/>
      <c r="C775" s="15"/>
      <c r="D775" s="15"/>
    </row>
    <row r="776" spans="1:4" ht="14.1" customHeight="1">
      <c r="A776" s="15"/>
      <c r="C776" s="15"/>
      <c r="D776" s="15"/>
    </row>
    <row r="777" spans="1:4" ht="14.1" customHeight="1">
      <c r="A777" s="15"/>
      <c r="C777" s="15"/>
      <c r="D777" s="15"/>
    </row>
    <row r="778" spans="1:4" ht="14.1" customHeight="1">
      <c r="A778" s="15"/>
      <c r="C778" s="15"/>
      <c r="D778" s="15"/>
    </row>
    <row r="779" spans="1:4" ht="14.1" customHeight="1">
      <c r="A779" s="15"/>
      <c r="C779" s="15"/>
      <c r="D779" s="15"/>
    </row>
    <row r="780" spans="1:4" ht="14.1" customHeight="1">
      <c r="A780" s="15"/>
      <c r="C780" s="15"/>
      <c r="D780" s="15"/>
    </row>
    <row r="781" spans="1:4" ht="14.1" customHeight="1">
      <c r="A781" s="15"/>
      <c r="C781" s="15"/>
      <c r="D781" s="15"/>
    </row>
    <row r="782" spans="1:4" ht="14.1" customHeight="1">
      <c r="A782" s="15"/>
      <c r="C782" s="15"/>
      <c r="D782" s="15"/>
    </row>
    <row r="783" spans="1:4" ht="14.1" customHeight="1">
      <c r="A783" s="15"/>
      <c r="C783" s="15"/>
      <c r="D783" s="15"/>
    </row>
    <row r="784" spans="1:4" ht="14.1" customHeight="1">
      <c r="A784" s="15"/>
      <c r="C784" s="15"/>
      <c r="D784" s="15"/>
    </row>
    <row r="785" spans="1:4" ht="14.1" customHeight="1">
      <c r="A785" s="15"/>
      <c r="C785" s="15"/>
      <c r="D785" s="15"/>
    </row>
    <row r="786" spans="1:4" ht="14.1" customHeight="1">
      <c r="A786" s="15"/>
      <c r="C786" s="15"/>
      <c r="D786" s="15"/>
    </row>
    <row r="787" spans="1:4" ht="14.1" customHeight="1">
      <c r="A787" s="15"/>
      <c r="C787" s="15"/>
      <c r="D787" s="15"/>
    </row>
    <row r="788" spans="1:4" ht="14.1" customHeight="1">
      <c r="A788" s="15"/>
      <c r="C788" s="15"/>
      <c r="D788" s="15"/>
    </row>
    <row r="789" spans="1:4" ht="14.1" customHeight="1">
      <c r="A789" s="15"/>
      <c r="C789" s="15"/>
      <c r="D789" s="15"/>
    </row>
    <row r="790" spans="1:4" ht="14.1" customHeight="1">
      <c r="A790" s="15"/>
      <c r="C790" s="15"/>
      <c r="D790" s="15"/>
    </row>
    <row r="791" spans="1:4" ht="14.1" customHeight="1">
      <c r="A791" s="15"/>
      <c r="C791" s="15"/>
      <c r="D791" s="15"/>
    </row>
    <row r="792" spans="1:4" ht="14.1" customHeight="1">
      <c r="A792" s="15"/>
      <c r="C792" s="15"/>
      <c r="D792" s="15"/>
    </row>
    <row r="793" spans="1:4" ht="14.1" customHeight="1">
      <c r="A793" s="15"/>
      <c r="C793" s="15"/>
      <c r="D793" s="15"/>
    </row>
    <row r="794" spans="1:4" ht="14.1" customHeight="1">
      <c r="A794" s="15"/>
      <c r="C794" s="15"/>
      <c r="D794" s="15"/>
    </row>
    <row r="795" spans="1:4" ht="14.1" customHeight="1">
      <c r="A795" s="15"/>
      <c r="C795" s="15"/>
      <c r="D795" s="15"/>
    </row>
    <row r="796" spans="1:4" ht="14.1" customHeight="1">
      <c r="A796" s="15"/>
      <c r="C796" s="15"/>
      <c r="D796" s="15"/>
    </row>
    <row r="797" spans="1:4" ht="14.1" customHeight="1">
      <c r="A797" s="15"/>
      <c r="C797" s="15"/>
      <c r="D797" s="15"/>
    </row>
    <row r="798" spans="1:4" ht="14.1" customHeight="1">
      <c r="A798" s="15"/>
      <c r="C798" s="15"/>
      <c r="D798" s="15"/>
    </row>
    <row r="799" spans="1:4" ht="14.1" customHeight="1">
      <c r="A799" s="15"/>
      <c r="C799" s="15"/>
      <c r="D799" s="15"/>
    </row>
    <row r="800" spans="1:4" ht="14.1" customHeight="1">
      <c r="A800" s="15"/>
      <c r="C800" s="15"/>
      <c r="D800" s="15"/>
    </row>
    <row r="801" spans="1:4" ht="14.1" customHeight="1">
      <c r="A801" s="15"/>
      <c r="C801" s="15"/>
      <c r="D801" s="15"/>
    </row>
    <row r="802" spans="1:4" ht="14.1" customHeight="1">
      <c r="A802" s="15"/>
      <c r="C802" s="15"/>
      <c r="D802" s="15"/>
    </row>
    <row r="803" spans="1:4" ht="14.1" customHeight="1">
      <c r="A803" s="15"/>
      <c r="C803" s="15"/>
      <c r="D803" s="15"/>
    </row>
    <row r="804" spans="1:4" ht="14.1" customHeight="1">
      <c r="A804" s="15"/>
      <c r="C804" s="15"/>
      <c r="D804" s="15"/>
    </row>
    <row r="805" spans="1:4" ht="14.1" customHeight="1">
      <c r="A805" s="15"/>
      <c r="C805" s="15"/>
      <c r="D805" s="15"/>
    </row>
    <row r="806" spans="1:4" ht="14.1" customHeight="1">
      <c r="A806" s="15"/>
      <c r="C806" s="15"/>
      <c r="D806" s="15"/>
    </row>
    <row r="807" spans="1:4" ht="14.1" customHeight="1">
      <c r="A807" s="15"/>
      <c r="C807" s="15"/>
      <c r="D807" s="15"/>
    </row>
    <row r="808" spans="1:4" ht="14.1" customHeight="1">
      <c r="A808" s="15"/>
      <c r="C808" s="15"/>
      <c r="D808" s="15"/>
    </row>
    <row r="809" spans="1:4" ht="14.1" customHeight="1">
      <c r="A809" s="15"/>
      <c r="C809" s="15"/>
      <c r="D809" s="15"/>
    </row>
    <row r="810" spans="1:4" ht="14.1" customHeight="1">
      <c r="A810" s="15"/>
      <c r="C810" s="15"/>
      <c r="D810" s="15"/>
    </row>
    <row r="811" spans="1:4" ht="14.1" customHeight="1">
      <c r="A811" s="15"/>
      <c r="C811" s="15"/>
      <c r="D811" s="15"/>
    </row>
    <row r="812" spans="1:4" ht="14.1" customHeight="1">
      <c r="A812" s="15"/>
      <c r="C812" s="15"/>
      <c r="D812" s="15"/>
    </row>
    <row r="813" spans="1:4" ht="14.1" customHeight="1">
      <c r="A813" s="15"/>
      <c r="C813" s="15"/>
      <c r="D813" s="15"/>
    </row>
    <row r="814" spans="1:4" ht="14.1" customHeight="1">
      <c r="A814" s="15"/>
      <c r="C814" s="15"/>
      <c r="D814" s="15"/>
    </row>
    <row r="815" spans="1:4" ht="14.1" customHeight="1">
      <c r="A815" s="15"/>
      <c r="C815" s="15"/>
      <c r="D815" s="15"/>
    </row>
    <row r="816" spans="1:4" ht="14.1" customHeight="1">
      <c r="A816" s="15"/>
      <c r="C816" s="15"/>
      <c r="D816" s="15"/>
    </row>
    <row r="817" spans="1:4" ht="14.1" customHeight="1">
      <c r="A817" s="15"/>
      <c r="C817" s="15"/>
      <c r="D817" s="15"/>
    </row>
    <row r="818" spans="1:4" ht="14.1" customHeight="1">
      <c r="A818" s="15"/>
      <c r="C818" s="15"/>
      <c r="D818" s="15"/>
    </row>
    <row r="819" spans="1:4" ht="14.1" customHeight="1">
      <c r="A819" s="15"/>
      <c r="C819" s="15"/>
      <c r="D819" s="15"/>
    </row>
    <row r="820" spans="1:4" ht="14.1" customHeight="1">
      <c r="A820" s="15"/>
      <c r="C820" s="15"/>
      <c r="D820" s="15"/>
    </row>
    <row r="821" spans="1:4" ht="14.1" customHeight="1">
      <c r="A821" s="15"/>
      <c r="C821" s="15"/>
      <c r="D821" s="15"/>
    </row>
    <row r="822" spans="1:4" ht="14.1" customHeight="1">
      <c r="A822" s="15"/>
      <c r="C822" s="15"/>
      <c r="D822" s="15"/>
    </row>
    <row r="823" spans="1:4" ht="14.1" customHeight="1">
      <c r="A823" s="15"/>
      <c r="C823" s="15"/>
      <c r="D823" s="15"/>
    </row>
    <row r="824" spans="1:4" ht="14.1" customHeight="1">
      <c r="A824" s="15"/>
      <c r="C824" s="15"/>
      <c r="D824" s="15"/>
    </row>
    <row r="825" spans="1:4" ht="14.1" customHeight="1">
      <c r="A825" s="15"/>
      <c r="C825" s="15"/>
      <c r="D825" s="15"/>
    </row>
    <row r="826" spans="1:4" ht="14.1" customHeight="1">
      <c r="A826" s="15"/>
      <c r="C826" s="15"/>
      <c r="D826" s="15"/>
    </row>
    <row r="827" spans="1:4" ht="14.1" customHeight="1">
      <c r="A827" s="15"/>
      <c r="C827" s="15"/>
      <c r="D827" s="15"/>
    </row>
    <row r="828" spans="1:4" ht="14.1" customHeight="1">
      <c r="A828" s="15"/>
      <c r="C828" s="15"/>
      <c r="D828" s="15"/>
    </row>
    <row r="829" spans="1:4" ht="14.1" customHeight="1">
      <c r="A829" s="15"/>
      <c r="C829" s="15"/>
      <c r="D829" s="15"/>
    </row>
    <row r="830" spans="1:4" ht="14.1" customHeight="1">
      <c r="A830" s="15"/>
      <c r="C830" s="15"/>
      <c r="D830" s="15"/>
    </row>
    <row r="831" spans="1:4" ht="14.1" customHeight="1">
      <c r="A831" s="15"/>
      <c r="C831" s="15"/>
      <c r="D831" s="15"/>
    </row>
    <row r="832" spans="1:4" ht="14.1" customHeight="1">
      <c r="A832" s="15"/>
      <c r="C832" s="15"/>
      <c r="D832" s="15"/>
    </row>
    <row r="833" spans="1:4" ht="14.1" customHeight="1">
      <c r="A833" s="15"/>
      <c r="C833" s="15"/>
      <c r="D833" s="15"/>
    </row>
    <row r="834" spans="1:4" ht="14.1" customHeight="1">
      <c r="A834" s="15"/>
      <c r="C834" s="15"/>
      <c r="D834" s="15"/>
    </row>
    <row r="835" spans="1:4" ht="14.1" customHeight="1">
      <c r="A835" s="15"/>
      <c r="C835" s="15"/>
      <c r="D835" s="15"/>
    </row>
    <row r="836" spans="1:4" ht="14.1" customHeight="1">
      <c r="A836" s="15"/>
      <c r="C836" s="15"/>
      <c r="D836" s="15"/>
    </row>
    <row r="837" spans="1:4" ht="14.1" customHeight="1">
      <c r="A837" s="15"/>
      <c r="C837" s="15"/>
      <c r="D837" s="15"/>
    </row>
    <row r="838" spans="1:4" ht="14.1" customHeight="1">
      <c r="A838" s="15"/>
      <c r="C838" s="15"/>
      <c r="D838" s="15"/>
    </row>
    <row r="839" spans="1:4" ht="14.1" customHeight="1">
      <c r="A839" s="15"/>
      <c r="C839" s="15"/>
      <c r="D839" s="15"/>
    </row>
    <row r="840" spans="1:4" ht="14.1" customHeight="1">
      <c r="A840" s="15"/>
      <c r="C840" s="15"/>
      <c r="D840" s="15"/>
    </row>
    <row r="841" spans="1:4" ht="14.1" customHeight="1">
      <c r="A841" s="15"/>
      <c r="C841" s="15"/>
      <c r="D841" s="15"/>
    </row>
    <row r="842" spans="1:4" ht="14.1" customHeight="1">
      <c r="A842" s="15"/>
      <c r="C842" s="15"/>
      <c r="D842" s="15"/>
    </row>
    <row r="843" spans="1:4" ht="14.1" customHeight="1">
      <c r="A843" s="15"/>
      <c r="C843" s="15"/>
      <c r="D843" s="15"/>
    </row>
    <row r="844" spans="1:4" ht="14.1" customHeight="1">
      <c r="A844" s="15"/>
      <c r="C844" s="15"/>
      <c r="D844" s="15"/>
    </row>
    <row r="845" spans="1:4" ht="14.1" customHeight="1">
      <c r="A845" s="15"/>
      <c r="C845" s="15"/>
      <c r="D845" s="15"/>
    </row>
    <row r="846" spans="1:4" ht="14.1" customHeight="1">
      <c r="A846" s="15"/>
      <c r="C846" s="15"/>
      <c r="D846" s="15"/>
    </row>
    <row r="847" spans="1:4" ht="14.1" customHeight="1">
      <c r="A847" s="15"/>
      <c r="C847" s="15"/>
      <c r="D847" s="15"/>
    </row>
    <row r="848" spans="1:4" ht="14.1" customHeight="1">
      <c r="A848" s="15"/>
      <c r="C848" s="15"/>
      <c r="D848" s="15"/>
    </row>
    <row r="849" spans="1:4" ht="14.1" customHeight="1">
      <c r="A849" s="15"/>
      <c r="C849" s="15"/>
      <c r="D849" s="15"/>
    </row>
    <row r="850" spans="1:4" ht="14.1" customHeight="1">
      <c r="A850" s="15"/>
      <c r="C850" s="15"/>
      <c r="D850" s="15"/>
    </row>
    <row r="851" spans="1:4" ht="14.1" customHeight="1">
      <c r="A851" s="15"/>
      <c r="C851" s="15"/>
      <c r="D851" s="15"/>
    </row>
    <row r="852" spans="1:4" ht="14.1" customHeight="1">
      <c r="A852" s="15"/>
      <c r="C852" s="15"/>
      <c r="D852" s="15"/>
    </row>
    <row r="853" spans="1:4" ht="14.1" customHeight="1">
      <c r="A853" s="15"/>
      <c r="C853" s="15"/>
      <c r="D853" s="15"/>
    </row>
    <row r="854" spans="1:4" ht="14.1" customHeight="1">
      <c r="A854" s="15"/>
      <c r="C854" s="15"/>
      <c r="D854" s="15"/>
    </row>
    <row r="855" spans="1:4" ht="14.1" customHeight="1">
      <c r="A855" s="15"/>
      <c r="C855" s="15"/>
      <c r="D855" s="15"/>
    </row>
    <row r="856" spans="1:4" ht="14.1" customHeight="1">
      <c r="A856" s="15"/>
      <c r="C856" s="15"/>
      <c r="D856" s="15"/>
    </row>
    <row r="857" spans="1:4" ht="14.1" customHeight="1">
      <c r="A857" s="15"/>
      <c r="C857" s="15"/>
      <c r="D857" s="15"/>
    </row>
    <row r="858" spans="1:4" ht="14.1" customHeight="1">
      <c r="A858" s="15"/>
      <c r="C858" s="15"/>
      <c r="D858" s="15"/>
    </row>
    <row r="859" spans="1:4" ht="14.1" customHeight="1">
      <c r="A859" s="15"/>
      <c r="C859" s="15"/>
      <c r="D859" s="15"/>
    </row>
    <row r="860" spans="1:4" ht="14.1" customHeight="1">
      <c r="A860" s="15"/>
      <c r="C860" s="15"/>
      <c r="D860" s="15"/>
    </row>
    <row r="861" spans="1:4" ht="14.1" customHeight="1">
      <c r="A861" s="15"/>
      <c r="C861" s="15"/>
      <c r="D861" s="15"/>
    </row>
    <row r="862" spans="1:4" ht="14.1" customHeight="1">
      <c r="A862" s="15"/>
      <c r="C862" s="15"/>
      <c r="D862" s="15"/>
    </row>
    <row r="863" spans="1:4" ht="14.1" customHeight="1">
      <c r="A863" s="15"/>
      <c r="C863" s="15"/>
      <c r="D863" s="15"/>
    </row>
    <row r="864" spans="1:4" ht="14.1" customHeight="1">
      <c r="A864" s="15"/>
      <c r="C864" s="15"/>
      <c r="D864" s="15"/>
    </row>
    <row r="865" spans="1:4" ht="14.1" customHeight="1">
      <c r="A865" s="15"/>
      <c r="C865" s="15"/>
      <c r="D865" s="15"/>
    </row>
    <row r="866" spans="1:4" ht="14.1" customHeight="1">
      <c r="A866" s="15"/>
      <c r="C866" s="15"/>
      <c r="D866" s="15"/>
    </row>
    <row r="867" spans="1:4" ht="14.1" customHeight="1">
      <c r="A867" s="15"/>
      <c r="C867" s="15"/>
      <c r="D867" s="15"/>
    </row>
    <row r="868" spans="1:4" ht="14.1" customHeight="1">
      <c r="A868" s="15"/>
      <c r="C868" s="15"/>
      <c r="D868" s="15"/>
    </row>
    <row r="869" spans="1:4" ht="14.1" customHeight="1">
      <c r="A869" s="15"/>
      <c r="C869" s="15"/>
      <c r="D869" s="15"/>
    </row>
    <row r="870" spans="1:4" ht="14.1" customHeight="1">
      <c r="A870" s="15"/>
      <c r="C870" s="15"/>
      <c r="D870" s="15"/>
    </row>
    <row r="871" spans="1:4" ht="14.1" customHeight="1">
      <c r="A871" s="15"/>
      <c r="C871" s="15"/>
      <c r="D871" s="15"/>
    </row>
    <row r="872" spans="1:4" ht="14.1" customHeight="1">
      <c r="A872" s="15"/>
      <c r="C872" s="15"/>
      <c r="D872" s="15"/>
    </row>
    <row r="873" spans="1:4" ht="14.1" customHeight="1">
      <c r="A873" s="15"/>
      <c r="C873" s="15"/>
      <c r="D873" s="15"/>
    </row>
    <row r="874" spans="1:4" ht="14.1" customHeight="1">
      <c r="A874" s="15"/>
      <c r="C874" s="15"/>
      <c r="D874" s="15"/>
    </row>
    <row r="875" spans="1:4" ht="14.1" customHeight="1">
      <c r="A875" s="15"/>
      <c r="C875" s="15"/>
      <c r="D875" s="15"/>
    </row>
    <row r="876" spans="1:4" ht="14.1" customHeight="1">
      <c r="A876" s="15"/>
      <c r="C876" s="15"/>
      <c r="D876" s="15"/>
    </row>
    <row r="877" spans="1:4" ht="14.1" customHeight="1">
      <c r="A877" s="15"/>
      <c r="C877" s="15"/>
      <c r="D877" s="15"/>
    </row>
    <row r="878" spans="1:4" ht="14.1" customHeight="1">
      <c r="A878" s="15"/>
      <c r="C878" s="15"/>
      <c r="D878" s="15"/>
    </row>
    <row r="879" spans="1:4" ht="14.1" customHeight="1">
      <c r="A879" s="15"/>
      <c r="C879" s="15"/>
      <c r="D879" s="15"/>
    </row>
    <row r="880" spans="1:4" ht="14.1" customHeight="1">
      <c r="A880" s="15"/>
      <c r="C880" s="15"/>
      <c r="D880" s="15"/>
    </row>
    <row r="881" spans="1:4" ht="14.1" customHeight="1">
      <c r="A881" s="15"/>
      <c r="C881" s="15"/>
      <c r="D881" s="15"/>
    </row>
    <row r="882" spans="1:4" ht="14.1" customHeight="1">
      <c r="A882" s="15"/>
      <c r="C882" s="15"/>
      <c r="D882" s="15"/>
    </row>
    <row r="883" spans="1:4" ht="14.1" customHeight="1">
      <c r="A883" s="15"/>
      <c r="C883" s="15"/>
      <c r="D883" s="15"/>
    </row>
    <row r="884" spans="1:4" ht="14.1" customHeight="1">
      <c r="A884" s="15"/>
      <c r="C884" s="15"/>
      <c r="D884" s="15"/>
    </row>
    <row r="885" spans="1:4" ht="14.1" customHeight="1">
      <c r="A885" s="15"/>
      <c r="C885" s="15"/>
      <c r="D885" s="15"/>
    </row>
    <row r="886" spans="1:4" ht="14.1" customHeight="1">
      <c r="A886" s="15"/>
      <c r="C886" s="15"/>
      <c r="D886" s="15"/>
    </row>
    <row r="887" spans="1:4" ht="14.1" customHeight="1">
      <c r="A887" s="15"/>
      <c r="C887" s="15"/>
      <c r="D887" s="15"/>
    </row>
    <row r="888" spans="1:4" ht="14.1" customHeight="1">
      <c r="A888" s="15"/>
      <c r="C888" s="15"/>
      <c r="D888" s="15"/>
    </row>
    <row r="889" spans="1:4" ht="14.1" customHeight="1">
      <c r="A889" s="15"/>
      <c r="C889" s="15"/>
      <c r="D889" s="15"/>
    </row>
    <row r="890" spans="1:4" ht="14.1" customHeight="1">
      <c r="A890" s="15"/>
      <c r="C890" s="15"/>
      <c r="D890" s="15"/>
    </row>
    <row r="891" spans="1:4" ht="14.1" customHeight="1">
      <c r="A891" s="15"/>
      <c r="C891" s="15"/>
      <c r="D891" s="15"/>
    </row>
    <row r="892" spans="1:4" ht="14.1" customHeight="1">
      <c r="A892" s="15"/>
      <c r="C892" s="15"/>
      <c r="D892" s="15"/>
    </row>
    <row r="893" spans="1:4" ht="14.1" customHeight="1">
      <c r="A893" s="15"/>
      <c r="C893" s="15"/>
      <c r="D893" s="15"/>
    </row>
    <row r="894" spans="1:4" ht="14.1" customHeight="1">
      <c r="A894" s="15"/>
      <c r="C894" s="15"/>
      <c r="D894" s="15"/>
    </row>
    <row r="895" spans="1:4" ht="14.1" customHeight="1">
      <c r="A895" s="15"/>
      <c r="C895" s="15"/>
      <c r="D895" s="15"/>
    </row>
    <row r="896" spans="1:4" ht="14.1" customHeight="1">
      <c r="A896" s="15"/>
      <c r="C896" s="15"/>
      <c r="D896" s="15"/>
    </row>
    <row r="897" spans="1:4" ht="14.1" customHeight="1">
      <c r="A897" s="15"/>
      <c r="C897" s="15"/>
      <c r="D897" s="15"/>
    </row>
    <row r="898" spans="1:4" ht="14.1" customHeight="1">
      <c r="A898" s="15"/>
      <c r="C898" s="15"/>
      <c r="D898" s="15"/>
    </row>
    <row r="899" spans="1:4" ht="14.1" customHeight="1">
      <c r="A899" s="15"/>
      <c r="C899" s="15"/>
      <c r="D899" s="15"/>
    </row>
    <row r="900" spans="1:4" ht="14.1" customHeight="1">
      <c r="A900" s="15"/>
      <c r="C900" s="15"/>
      <c r="D900" s="15"/>
    </row>
    <row r="901" spans="1:4" ht="14.1" customHeight="1">
      <c r="A901" s="15"/>
      <c r="C901" s="15"/>
      <c r="D901" s="15"/>
    </row>
    <row r="902" spans="1:4" ht="14.1" customHeight="1">
      <c r="A902" s="15"/>
      <c r="C902" s="15"/>
      <c r="D902" s="15"/>
    </row>
    <row r="903" spans="1:4" ht="14.1" customHeight="1">
      <c r="A903" s="15"/>
      <c r="C903" s="15"/>
      <c r="D903" s="15"/>
    </row>
    <row r="904" spans="1:4" ht="14.1" customHeight="1">
      <c r="A904" s="15"/>
      <c r="C904" s="15"/>
      <c r="D904" s="15"/>
    </row>
    <row r="905" spans="1:4" ht="14.1" customHeight="1">
      <c r="A905" s="15"/>
      <c r="C905" s="15"/>
      <c r="D905" s="15"/>
    </row>
    <row r="906" spans="1:4" ht="14.1" customHeight="1">
      <c r="A906" s="15"/>
      <c r="C906" s="15"/>
      <c r="D906" s="15"/>
    </row>
    <row r="907" spans="1:4" ht="14.1" customHeight="1">
      <c r="A907" s="15"/>
      <c r="C907" s="15"/>
      <c r="D907" s="15"/>
    </row>
    <row r="908" spans="1:4" ht="14.1" customHeight="1">
      <c r="A908" s="15"/>
      <c r="C908" s="15"/>
      <c r="D908" s="15"/>
    </row>
    <row r="909" spans="1:4" ht="14.1" customHeight="1">
      <c r="A909" s="15"/>
      <c r="C909" s="15"/>
      <c r="D909" s="15"/>
    </row>
    <row r="910" spans="1:4" ht="14.1" customHeight="1">
      <c r="A910" s="15"/>
      <c r="C910" s="15"/>
      <c r="D910" s="15"/>
    </row>
    <row r="911" spans="1:4" ht="14.1" customHeight="1">
      <c r="A911" s="15"/>
      <c r="C911" s="15"/>
      <c r="D911" s="15"/>
    </row>
    <row r="912" spans="1:4" ht="14.1" customHeight="1">
      <c r="A912" s="15"/>
      <c r="C912" s="15"/>
      <c r="D912" s="15"/>
    </row>
    <row r="913" spans="1:4" ht="14.1" customHeight="1">
      <c r="A913" s="15"/>
      <c r="C913" s="15"/>
      <c r="D913" s="15"/>
    </row>
    <row r="914" spans="1:4" ht="14.1" customHeight="1">
      <c r="A914" s="15"/>
      <c r="C914" s="15"/>
      <c r="D914" s="15"/>
    </row>
    <row r="915" spans="1:4" ht="14.1" customHeight="1">
      <c r="A915" s="15"/>
      <c r="C915" s="15"/>
      <c r="D915" s="15"/>
    </row>
    <row r="916" spans="1:4" ht="14.1" customHeight="1">
      <c r="A916" s="15"/>
      <c r="C916" s="15"/>
      <c r="D916" s="15"/>
    </row>
    <row r="917" spans="1:4" ht="14.1" customHeight="1">
      <c r="A917" s="15"/>
      <c r="C917" s="15"/>
      <c r="D917" s="15"/>
    </row>
    <row r="918" spans="1:4" ht="14.1" customHeight="1">
      <c r="A918" s="15"/>
      <c r="C918" s="15"/>
      <c r="D918" s="15"/>
    </row>
    <row r="919" spans="1:4" ht="14.1" customHeight="1">
      <c r="A919" s="15"/>
      <c r="C919" s="15"/>
      <c r="D919" s="15"/>
    </row>
    <row r="920" spans="1:4" ht="14.1" customHeight="1">
      <c r="A920" s="15"/>
      <c r="C920" s="15"/>
      <c r="D920" s="15"/>
    </row>
    <row r="921" spans="1:4" ht="14.1" customHeight="1">
      <c r="A921" s="15"/>
      <c r="C921" s="15"/>
      <c r="D921" s="15"/>
    </row>
    <row r="922" spans="1:4" ht="14.1" customHeight="1">
      <c r="A922" s="15"/>
      <c r="C922" s="15"/>
      <c r="D922" s="15"/>
    </row>
    <row r="923" spans="1:4" ht="14.1" customHeight="1">
      <c r="A923" s="15"/>
      <c r="C923" s="15"/>
      <c r="D923" s="15"/>
    </row>
    <row r="924" spans="1:4" ht="14.1" customHeight="1">
      <c r="A924" s="15"/>
      <c r="C924" s="15"/>
      <c r="D924" s="15"/>
    </row>
    <row r="925" spans="1:4" ht="14.1" customHeight="1">
      <c r="A925" s="15"/>
      <c r="C925" s="15"/>
      <c r="D925" s="15"/>
    </row>
    <row r="926" spans="1:4" ht="14.1" customHeight="1">
      <c r="A926" s="15"/>
      <c r="C926" s="15"/>
      <c r="D926" s="15"/>
    </row>
    <row r="927" spans="1:4" ht="14.1" customHeight="1">
      <c r="A927" s="15"/>
      <c r="C927" s="15"/>
      <c r="D927" s="15"/>
    </row>
    <row r="928" spans="1:4" ht="14.1" customHeight="1">
      <c r="A928" s="15"/>
      <c r="C928" s="15"/>
      <c r="D928" s="15"/>
    </row>
    <row r="929" spans="1:4" ht="14.1" customHeight="1">
      <c r="A929" s="15"/>
      <c r="C929" s="15"/>
      <c r="D929" s="15"/>
    </row>
    <row r="930" spans="1:4" ht="14.1" customHeight="1">
      <c r="A930" s="15"/>
      <c r="C930" s="15"/>
      <c r="D930" s="15"/>
    </row>
    <row r="931" spans="1:4" ht="14.1" customHeight="1">
      <c r="A931" s="15"/>
      <c r="C931" s="15"/>
      <c r="D931" s="15"/>
    </row>
    <row r="932" spans="1:4" ht="14.1" customHeight="1">
      <c r="A932" s="15"/>
      <c r="C932" s="15"/>
      <c r="D932" s="15"/>
    </row>
    <row r="933" spans="1:4" ht="14.1" customHeight="1">
      <c r="A933" s="15"/>
      <c r="C933" s="15"/>
      <c r="D933" s="15"/>
    </row>
    <row r="934" spans="1:4" ht="14.1" customHeight="1">
      <c r="A934" s="15"/>
      <c r="C934" s="15"/>
      <c r="D934" s="15"/>
    </row>
    <row r="935" spans="1:4" ht="14.1" customHeight="1">
      <c r="A935" s="15"/>
      <c r="C935" s="15"/>
      <c r="D935" s="15"/>
    </row>
    <row r="936" spans="1:4" ht="14.1" customHeight="1">
      <c r="A936" s="15"/>
      <c r="C936" s="15"/>
      <c r="D936" s="15"/>
    </row>
    <row r="937" spans="1:4" ht="14.1" customHeight="1">
      <c r="A937" s="15"/>
      <c r="C937" s="15"/>
      <c r="D937" s="15"/>
    </row>
    <row r="938" spans="1:4" ht="14.1" customHeight="1">
      <c r="A938" s="15"/>
      <c r="C938" s="15"/>
      <c r="D938" s="15"/>
    </row>
    <row r="939" spans="1:4" ht="14.1" customHeight="1">
      <c r="A939" s="15"/>
      <c r="C939" s="15"/>
      <c r="D939" s="15"/>
    </row>
    <row r="940" spans="1:4" ht="14.1" customHeight="1">
      <c r="A940" s="15"/>
      <c r="C940" s="15"/>
      <c r="D940" s="15"/>
    </row>
    <row r="941" spans="1:4" ht="14.1" customHeight="1">
      <c r="A941" s="15"/>
      <c r="C941" s="15"/>
      <c r="D941" s="15"/>
    </row>
    <row r="942" spans="1:4" ht="14.1" customHeight="1">
      <c r="A942" s="15"/>
      <c r="C942" s="15"/>
      <c r="D942" s="15"/>
    </row>
    <row r="943" spans="1:4" ht="14.1" customHeight="1">
      <c r="A943" s="15"/>
      <c r="C943" s="15"/>
      <c r="D943" s="15"/>
    </row>
    <row r="944" spans="1:4" ht="14.1" customHeight="1">
      <c r="A944" s="15"/>
      <c r="C944" s="15"/>
      <c r="D944" s="15"/>
    </row>
    <row r="945" spans="1:4" ht="14.1" customHeight="1">
      <c r="A945" s="15"/>
      <c r="C945" s="15"/>
      <c r="D945" s="15"/>
    </row>
    <row r="946" spans="1:4" ht="14.1" customHeight="1">
      <c r="A946" s="15"/>
      <c r="C946" s="15"/>
      <c r="D946" s="15"/>
    </row>
    <row r="947" spans="1:4" ht="14.1" customHeight="1">
      <c r="A947" s="15"/>
      <c r="C947" s="15"/>
      <c r="D947" s="15"/>
    </row>
    <row r="948" spans="1:4" ht="14.1" customHeight="1">
      <c r="A948" s="15"/>
      <c r="C948" s="15"/>
      <c r="D948" s="15"/>
    </row>
    <row r="949" spans="1:4" ht="14.1" customHeight="1">
      <c r="A949" s="15"/>
      <c r="C949" s="15"/>
      <c r="D949" s="15"/>
    </row>
    <row r="950" spans="1:4" ht="14.1" customHeight="1">
      <c r="A950" s="15"/>
      <c r="C950" s="15"/>
      <c r="D950" s="15"/>
    </row>
    <row r="951" spans="1:4" ht="14.1" customHeight="1">
      <c r="A951" s="15"/>
      <c r="C951" s="15"/>
      <c r="D951" s="15"/>
    </row>
    <row r="952" spans="1:4" ht="14.1" customHeight="1">
      <c r="A952" s="15"/>
      <c r="C952" s="15"/>
      <c r="D952" s="15"/>
    </row>
    <row r="953" spans="1:4" ht="14.1" customHeight="1">
      <c r="A953" s="15"/>
      <c r="C953" s="15"/>
      <c r="D953" s="15"/>
    </row>
    <row r="954" spans="1:4" ht="14.1" customHeight="1">
      <c r="A954" s="15"/>
      <c r="C954" s="15"/>
      <c r="D954" s="15"/>
    </row>
    <row r="955" spans="1:4" ht="14.1" customHeight="1">
      <c r="A955" s="15"/>
      <c r="C955" s="15"/>
      <c r="D955" s="15"/>
    </row>
    <row r="956" spans="1:4" ht="14.1" customHeight="1">
      <c r="A956" s="15"/>
      <c r="C956" s="15"/>
      <c r="D956" s="15"/>
    </row>
    <row r="957" spans="1:4" ht="14.1" customHeight="1">
      <c r="A957" s="15"/>
      <c r="C957" s="15"/>
      <c r="D957" s="15"/>
    </row>
    <row r="958" spans="1:4" ht="14.1" customHeight="1">
      <c r="A958" s="15"/>
      <c r="C958" s="15"/>
      <c r="D958" s="15"/>
    </row>
    <row r="959" spans="1:4" ht="14.1" customHeight="1">
      <c r="A959" s="15"/>
      <c r="C959" s="15"/>
      <c r="D959" s="15"/>
    </row>
    <row r="960" spans="1:4" ht="14.1" customHeight="1">
      <c r="A960" s="15"/>
      <c r="C960" s="15"/>
      <c r="D960" s="15"/>
    </row>
    <row r="961" spans="1:4" ht="14.1" customHeight="1">
      <c r="A961" s="15"/>
      <c r="C961" s="15"/>
      <c r="D961" s="15"/>
    </row>
    <row r="962" spans="1:4" ht="14.1" customHeight="1">
      <c r="A962" s="15"/>
      <c r="C962" s="15"/>
      <c r="D962" s="15"/>
    </row>
    <row r="963" spans="1:4" ht="14.1" customHeight="1">
      <c r="A963" s="15"/>
      <c r="C963" s="15"/>
      <c r="D963" s="15"/>
    </row>
    <row r="964" spans="1:4" ht="14.1" customHeight="1">
      <c r="A964" s="15"/>
      <c r="C964" s="15"/>
      <c r="D964" s="15"/>
    </row>
    <row r="965" spans="1:4" ht="14.1" customHeight="1">
      <c r="A965" s="15"/>
      <c r="C965" s="15"/>
      <c r="D965" s="15"/>
    </row>
    <row r="966" spans="1:4" ht="14.1" customHeight="1">
      <c r="A966" s="15"/>
      <c r="C966" s="15"/>
      <c r="D966" s="15"/>
    </row>
    <row r="967" spans="1:4" ht="14.1" customHeight="1">
      <c r="A967" s="15"/>
      <c r="C967" s="15"/>
      <c r="D967" s="15"/>
    </row>
    <row r="968" spans="1:4" ht="14.1" customHeight="1">
      <c r="A968" s="15"/>
      <c r="C968" s="15"/>
      <c r="D968" s="15"/>
    </row>
    <row r="969" spans="1:4" ht="14.1" customHeight="1">
      <c r="A969" s="15"/>
      <c r="C969" s="15"/>
      <c r="D969" s="15"/>
    </row>
    <row r="970" spans="1:4" ht="14.1" customHeight="1">
      <c r="A970" s="15"/>
      <c r="C970" s="15"/>
      <c r="D970" s="15"/>
    </row>
    <row r="971" spans="1:4" ht="14.1" customHeight="1">
      <c r="A971" s="15"/>
      <c r="C971" s="15"/>
      <c r="D971" s="15"/>
    </row>
    <row r="972" spans="1:4" ht="14.1" customHeight="1">
      <c r="A972" s="15"/>
      <c r="C972" s="15"/>
      <c r="D972" s="15"/>
    </row>
    <row r="973" spans="1:4" ht="14.1" customHeight="1">
      <c r="A973" s="15"/>
      <c r="C973" s="15"/>
      <c r="D973" s="15"/>
    </row>
    <row r="974" spans="1:4" ht="14.1" customHeight="1">
      <c r="A974" s="15"/>
      <c r="C974" s="15"/>
      <c r="D974" s="15"/>
    </row>
    <row r="975" spans="1:4" ht="14.1" customHeight="1">
      <c r="A975" s="15"/>
      <c r="C975" s="15"/>
      <c r="D975" s="15"/>
    </row>
    <row r="976" spans="1:4" ht="14.1" customHeight="1">
      <c r="A976" s="15"/>
      <c r="C976" s="15"/>
      <c r="D976" s="15"/>
    </row>
    <row r="977" spans="1:4" ht="14.1" customHeight="1">
      <c r="A977" s="15"/>
      <c r="C977" s="15"/>
      <c r="D977" s="15"/>
    </row>
    <row r="978" spans="1:4" ht="14.1" customHeight="1">
      <c r="A978" s="15"/>
      <c r="C978" s="15"/>
      <c r="D978" s="15"/>
    </row>
    <row r="979" spans="1:4" ht="14.1" customHeight="1">
      <c r="A979" s="15"/>
      <c r="C979" s="15"/>
      <c r="D979" s="15"/>
    </row>
    <row r="980" spans="1:4" ht="14.1" customHeight="1">
      <c r="A980" s="15"/>
      <c r="C980" s="15"/>
      <c r="D980" s="15"/>
    </row>
    <row r="981" spans="1:4" ht="14.1" customHeight="1">
      <c r="A981" s="15"/>
      <c r="C981" s="15"/>
      <c r="D981" s="15"/>
    </row>
    <row r="982" spans="1:4" ht="14.1" customHeight="1">
      <c r="A982" s="15"/>
      <c r="C982" s="15"/>
      <c r="D982" s="15"/>
    </row>
    <row r="983" spans="1:4" ht="14.1" customHeight="1">
      <c r="A983" s="15"/>
      <c r="C983" s="15"/>
      <c r="D983" s="15"/>
    </row>
    <row r="984" spans="1:4" ht="14.1" customHeight="1">
      <c r="A984" s="15"/>
      <c r="C984" s="15"/>
      <c r="D984" s="15"/>
    </row>
    <row r="985" spans="1:4" ht="14.1" customHeight="1">
      <c r="A985" s="15"/>
      <c r="C985" s="15"/>
      <c r="D985" s="15"/>
    </row>
    <row r="986" spans="1:4" ht="14.1" customHeight="1">
      <c r="A986" s="15"/>
      <c r="C986" s="15"/>
      <c r="D986" s="15"/>
    </row>
    <row r="987" spans="1:4" ht="14.1" customHeight="1">
      <c r="A987" s="15"/>
      <c r="C987" s="15"/>
      <c r="D987" s="15"/>
    </row>
    <row r="988" spans="1:4" ht="14.1" customHeight="1">
      <c r="A988" s="15"/>
      <c r="C988" s="15"/>
      <c r="D988" s="15"/>
    </row>
    <row r="989" spans="1:4" ht="14.1" customHeight="1">
      <c r="A989" s="15"/>
      <c r="C989" s="15"/>
      <c r="D989" s="15"/>
    </row>
    <row r="990" spans="1:4" ht="14.1" customHeight="1">
      <c r="A990" s="15"/>
      <c r="C990" s="15"/>
      <c r="D990" s="15"/>
    </row>
    <row r="991" spans="1:4" ht="14.1" customHeight="1">
      <c r="A991" s="15"/>
      <c r="C991" s="15"/>
      <c r="D991" s="15"/>
    </row>
    <row r="992" spans="1:4" ht="14.1" customHeight="1">
      <c r="A992" s="15"/>
      <c r="C992" s="15"/>
      <c r="D992" s="15"/>
    </row>
    <row r="993" spans="1:4" ht="14.1" customHeight="1">
      <c r="A993" s="15"/>
      <c r="C993" s="15"/>
      <c r="D993" s="15"/>
    </row>
    <row r="994" spans="1:4" ht="14.1" customHeight="1">
      <c r="A994" s="15"/>
      <c r="C994" s="15"/>
      <c r="D994" s="15"/>
    </row>
    <row r="995" spans="1:4" ht="14.1" customHeight="1">
      <c r="A995" s="15"/>
      <c r="C995" s="15"/>
      <c r="D995" s="15"/>
    </row>
    <row r="996" spans="1:4" ht="14.1" customHeight="1">
      <c r="A996" s="15"/>
      <c r="C996" s="15"/>
      <c r="D996" s="15"/>
    </row>
    <row r="997" spans="1:4" ht="14.1" customHeight="1">
      <c r="A997" s="15"/>
      <c r="C997" s="15"/>
      <c r="D997" s="15"/>
    </row>
    <row r="998" spans="1:4" ht="14.1" customHeight="1">
      <c r="A998" s="15"/>
      <c r="C998" s="15"/>
      <c r="D998" s="15"/>
    </row>
    <row r="999" spans="1:4" ht="14.1" customHeight="1">
      <c r="A999" s="15"/>
      <c r="C999" s="15"/>
      <c r="D999" s="15"/>
    </row>
    <row r="1000" spans="1:4" ht="14.1" customHeight="1">
      <c r="A1000" s="15"/>
      <c r="C1000" s="15"/>
      <c r="D1000" s="15"/>
    </row>
    <row r="1001" spans="1:4" ht="14.1" customHeight="1">
      <c r="A1001" s="15"/>
      <c r="C1001" s="15"/>
      <c r="D1001" s="15"/>
    </row>
    <row r="1002" spans="1:4" ht="14.1" customHeight="1">
      <c r="A1002" s="15"/>
      <c r="C1002" s="15"/>
      <c r="D1002" s="15"/>
    </row>
    <row r="1003" spans="1:4" ht="14.1" customHeight="1">
      <c r="A1003" s="15"/>
      <c r="C1003" s="15"/>
      <c r="D1003" s="15"/>
    </row>
    <row r="1004" spans="1:4" ht="14.1" customHeight="1">
      <c r="A1004" s="15"/>
      <c r="C1004" s="15"/>
      <c r="D1004" s="15"/>
    </row>
    <row r="1005" spans="1:4" ht="14.1" customHeight="1">
      <c r="A1005" s="15"/>
      <c r="C1005" s="15"/>
      <c r="D1005" s="15"/>
    </row>
    <row r="1006" spans="1:4" ht="14.1" customHeight="1">
      <c r="A1006" s="15"/>
      <c r="C1006" s="15"/>
      <c r="D1006" s="15"/>
    </row>
    <row r="1007" spans="1:4" ht="14.1" customHeight="1">
      <c r="A1007" s="15"/>
      <c r="C1007" s="15"/>
      <c r="D1007" s="15"/>
    </row>
    <row r="1008" spans="1:4" ht="14.1" customHeight="1">
      <c r="A1008" s="15"/>
      <c r="C1008" s="15"/>
      <c r="D1008" s="15"/>
    </row>
    <row r="1009" spans="1:4" ht="14.1" customHeight="1">
      <c r="A1009" s="15"/>
      <c r="C1009" s="15"/>
      <c r="D1009" s="15"/>
    </row>
    <row r="1010" spans="1:4" ht="14.1" customHeight="1">
      <c r="A1010" s="15"/>
      <c r="C1010" s="15"/>
      <c r="D1010" s="15"/>
    </row>
    <row r="1011" spans="1:4" ht="14.1" customHeight="1">
      <c r="A1011" s="15"/>
      <c r="C1011" s="15"/>
      <c r="D1011" s="15"/>
    </row>
    <row r="1012" spans="1:4" ht="14.1" customHeight="1">
      <c r="A1012" s="15"/>
      <c r="C1012" s="15"/>
      <c r="D1012" s="15"/>
    </row>
    <row r="1013" spans="1:4" ht="14.1" customHeight="1">
      <c r="A1013" s="15"/>
      <c r="C1013" s="15"/>
      <c r="D1013" s="15"/>
    </row>
    <row r="1014" spans="1:4" ht="14.1" customHeight="1">
      <c r="A1014" s="15"/>
      <c r="C1014" s="15"/>
      <c r="D1014" s="15"/>
    </row>
    <row r="1015" spans="1:4" ht="14.1" customHeight="1">
      <c r="A1015" s="15"/>
      <c r="C1015" s="15"/>
      <c r="D1015" s="15"/>
    </row>
    <row r="1016" spans="1:4" ht="14.1" customHeight="1">
      <c r="A1016" s="15"/>
      <c r="C1016" s="15"/>
      <c r="D1016" s="15"/>
    </row>
    <row r="1017" spans="1:4" ht="14.1" customHeight="1">
      <c r="A1017" s="15"/>
      <c r="C1017" s="15"/>
      <c r="D1017" s="15"/>
    </row>
    <row r="1018" spans="1:4" ht="14.1" customHeight="1">
      <c r="A1018" s="15"/>
      <c r="C1018" s="15"/>
      <c r="D1018" s="15"/>
    </row>
    <row r="1019" spans="1:4" ht="14.1" customHeight="1">
      <c r="A1019" s="15"/>
      <c r="C1019" s="15"/>
      <c r="D1019" s="15"/>
    </row>
    <row r="1020" spans="1:4" ht="14.1" customHeight="1">
      <c r="A1020" s="15"/>
      <c r="C1020" s="15"/>
      <c r="D1020" s="15"/>
    </row>
    <row r="1021" spans="1:4" ht="14.1" customHeight="1">
      <c r="A1021" s="15"/>
      <c r="C1021" s="15"/>
      <c r="D1021" s="15"/>
    </row>
    <row r="1022" spans="1:4" ht="14.1" customHeight="1">
      <c r="A1022" s="15"/>
      <c r="C1022" s="15"/>
      <c r="D1022" s="15"/>
    </row>
    <row r="1023" spans="1:4" ht="14.1" customHeight="1">
      <c r="A1023" s="15"/>
      <c r="C1023" s="15"/>
      <c r="D1023" s="15"/>
    </row>
    <row r="1024" spans="1:4" ht="14.1" customHeight="1">
      <c r="A1024" s="15"/>
      <c r="C1024" s="15"/>
      <c r="D1024" s="15"/>
    </row>
    <row r="1025" spans="1:4" ht="14.1" customHeight="1">
      <c r="A1025" s="15"/>
      <c r="C1025" s="15"/>
      <c r="D1025" s="15"/>
    </row>
    <row r="1026" spans="1:4" ht="14.1" customHeight="1">
      <c r="A1026" s="15"/>
      <c r="C1026" s="15"/>
      <c r="D1026" s="15"/>
    </row>
    <row r="1027" spans="1:4" ht="14.1" customHeight="1">
      <c r="A1027" s="15"/>
      <c r="C1027" s="15"/>
      <c r="D1027" s="15"/>
    </row>
    <row r="1028" spans="1:4" ht="14.1" customHeight="1">
      <c r="A1028" s="15"/>
      <c r="C1028" s="15"/>
      <c r="D1028" s="15"/>
    </row>
    <row r="1029" spans="1:4" ht="14.1" customHeight="1">
      <c r="A1029" s="15"/>
      <c r="C1029" s="15"/>
      <c r="D1029" s="15"/>
    </row>
    <row r="1030" spans="1:4" ht="14.1" customHeight="1">
      <c r="A1030" s="15"/>
      <c r="C1030" s="15"/>
      <c r="D1030" s="15"/>
    </row>
    <row r="1031" spans="1:4" ht="14.1" customHeight="1">
      <c r="A1031" s="15"/>
      <c r="C1031" s="15"/>
      <c r="D1031" s="15"/>
    </row>
    <row r="1032" spans="1:4" ht="14.1" customHeight="1">
      <c r="A1032" s="15"/>
      <c r="C1032" s="15"/>
      <c r="D1032" s="15"/>
    </row>
    <row r="1033" spans="1:4" ht="14.1" customHeight="1">
      <c r="A1033" s="15"/>
      <c r="C1033" s="15"/>
      <c r="D1033" s="15"/>
    </row>
    <row r="1034" spans="1:4" ht="14.1" customHeight="1">
      <c r="A1034" s="15"/>
      <c r="C1034" s="15"/>
      <c r="D1034" s="15"/>
    </row>
    <row r="1035" spans="1:4" ht="14.1" customHeight="1">
      <c r="A1035" s="15"/>
      <c r="C1035" s="15"/>
      <c r="D1035" s="15"/>
    </row>
    <row r="1036" spans="1:4" ht="14.1" customHeight="1">
      <c r="A1036" s="15"/>
      <c r="C1036" s="15"/>
      <c r="D1036" s="15"/>
    </row>
    <row r="1037" spans="1:4" ht="14.1" customHeight="1">
      <c r="A1037" s="15"/>
      <c r="C1037" s="15"/>
      <c r="D1037" s="15"/>
    </row>
    <row r="1038" spans="1:4" ht="14.1" customHeight="1">
      <c r="A1038" s="15"/>
      <c r="C1038" s="15"/>
      <c r="D1038" s="15"/>
    </row>
    <row r="1039" spans="1:4" ht="14.1" customHeight="1">
      <c r="A1039" s="15"/>
      <c r="C1039" s="15"/>
      <c r="D1039" s="15"/>
    </row>
    <row r="1040" spans="1:4" ht="14.1" customHeight="1">
      <c r="A1040" s="15"/>
      <c r="C1040" s="15"/>
      <c r="D1040" s="15"/>
    </row>
    <row r="1041" spans="1:4" ht="14.1" customHeight="1">
      <c r="A1041" s="15"/>
      <c r="C1041" s="15"/>
      <c r="D1041" s="15"/>
    </row>
    <row r="1042" spans="1:4" ht="14.1" customHeight="1">
      <c r="A1042" s="15"/>
      <c r="C1042" s="15"/>
      <c r="D1042" s="15"/>
    </row>
    <row r="1043" spans="1:4" ht="14.1" customHeight="1">
      <c r="A1043" s="15"/>
      <c r="C1043" s="15"/>
      <c r="D1043" s="15"/>
    </row>
    <row r="1044" spans="1:4" ht="14.1" customHeight="1">
      <c r="A1044" s="15"/>
      <c r="C1044" s="15"/>
      <c r="D1044" s="15"/>
    </row>
    <row r="1045" spans="1:4" ht="14.1" customHeight="1">
      <c r="A1045" s="15"/>
      <c r="C1045" s="15"/>
      <c r="D1045" s="15"/>
    </row>
    <row r="1046" spans="1:4" ht="14.1" customHeight="1">
      <c r="A1046" s="15"/>
      <c r="C1046" s="15"/>
      <c r="D1046" s="15"/>
    </row>
    <row r="1047" spans="1:4" ht="14.1" customHeight="1">
      <c r="A1047" s="15"/>
      <c r="C1047" s="15"/>
      <c r="D1047" s="15"/>
    </row>
    <row r="1048" spans="1:4" ht="14.1" customHeight="1">
      <c r="A1048" s="15"/>
      <c r="C1048" s="15"/>
      <c r="D1048" s="15"/>
    </row>
    <row r="1049" spans="1:4" ht="14.1" customHeight="1">
      <c r="A1049" s="15"/>
      <c r="C1049" s="15"/>
      <c r="D1049" s="15"/>
    </row>
    <row r="1050" spans="1:4" ht="14.1" customHeight="1">
      <c r="A1050" s="15"/>
      <c r="C1050" s="15"/>
      <c r="D1050" s="15"/>
    </row>
    <row r="1051" spans="1:4" ht="14.1" customHeight="1">
      <c r="A1051" s="15"/>
      <c r="C1051" s="15"/>
      <c r="D1051" s="15"/>
    </row>
    <row r="1052" spans="1:4" ht="14.1" customHeight="1">
      <c r="A1052" s="15"/>
      <c r="C1052" s="15"/>
      <c r="D1052" s="15"/>
    </row>
    <row r="1053" spans="1:4" ht="14.1" customHeight="1">
      <c r="A1053" s="15"/>
      <c r="C1053" s="15"/>
      <c r="D1053" s="15"/>
    </row>
    <row r="1054" spans="1:4" ht="14.1" customHeight="1">
      <c r="A1054" s="15"/>
      <c r="C1054" s="15"/>
      <c r="D1054" s="15"/>
    </row>
    <row r="1055" spans="1:4" ht="14.1" customHeight="1">
      <c r="A1055" s="15"/>
      <c r="C1055" s="15"/>
      <c r="D1055" s="15"/>
    </row>
    <row r="1056" spans="1:4" ht="14.1" customHeight="1">
      <c r="A1056" s="15"/>
      <c r="C1056" s="15"/>
      <c r="D1056" s="15"/>
    </row>
    <row r="1057" spans="1:4" ht="14.1" customHeight="1">
      <c r="A1057" s="15"/>
      <c r="C1057" s="15"/>
      <c r="D1057" s="15"/>
    </row>
    <row r="1058" spans="1:4" ht="14.1" customHeight="1">
      <c r="A1058" s="15"/>
      <c r="C1058" s="15"/>
      <c r="D1058" s="15"/>
    </row>
    <row r="1059" spans="1:4" ht="14.1" customHeight="1">
      <c r="A1059" s="15"/>
      <c r="C1059" s="15"/>
      <c r="D1059" s="15"/>
    </row>
    <row r="1060" spans="1:4" ht="14.1" customHeight="1">
      <c r="A1060" s="15"/>
      <c r="C1060" s="15"/>
      <c r="D1060" s="15"/>
    </row>
    <row r="1061" spans="1:4" ht="14.1" customHeight="1">
      <c r="A1061" s="15"/>
      <c r="C1061" s="15"/>
      <c r="D1061" s="15"/>
    </row>
    <row r="1062" spans="1:4" ht="14.1" customHeight="1">
      <c r="A1062" s="15"/>
      <c r="C1062" s="15"/>
      <c r="D1062" s="15"/>
    </row>
    <row r="1063" spans="1:4" ht="14.1" customHeight="1">
      <c r="A1063" s="15"/>
      <c r="C1063" s="15"/>
      <c r="D1063" s="15"/>
    </row>
    <row r="1064" spans="1:4" ht="14.1" customHeight="1">
      <c r="A1064" s="15"/>
      <c r="C1064" s="15"/>
      <c r="D1064" s="15"/>
    </row>
    <row r="1065" spans="1:4" ht="14.1" customHeight="1">
      <c r="A1065" s="15"/>
      <c r="C1065" s="15"/>
      <c r="D1065" s="15"/>
    </row>
    <row r="1066" spans="1:4" ht="14.1" customHeight="1">
      <c r="A1066" s="15"/>
      <c r="C1066" s="15"/>
      <c r="D1066" s="15"/>
    </row>
    <row r="1067" spans="1:4" ht="14.1" customHeight="1">
      <c r="A1067" s="15"/>
      <c r="C1067" s="15"/>
      <c r="D1067" s="15"/>
    </row>
    <row r="1068" spans="1:4" ht="14.1" customHeight="1">
      <c r="A1068" s="15"/>
      <c r="C1068" s="15"/>
      <c r="D1068" s="15"/>
    </row>
    <row r="1069" spans="1:4" ht="14.1" customHeight="1">
      <c r="A1069" s="15"/>
      <c r="C1069" s="15"/>
      <c r="D1069" s="15"/>
    </row>
    <row r="1070" spans="1:4" ht="14.1" customHeight="1">
      <c r="A1070" s="15"/>
      <c r="C1070" s="15"/>
      <c r="D1070" s="15"/>
    </row>
    <row r="1071" spans="1:4" ht="14.1" customHeight="1">
      <c r="A1071" s="15"/>
      <c r="C1071" s="15"/>
      <c r="D1071" s="15"/>
    </row>
    <row r="1072" spans="1:4" ht="14.1" customHeight="1">
      <c r="A1072" s="15"/>
      <c r="C1072" s="15"/>
      <c r="D1072" s="15"/>
    </row>
    <row r="1073" spans="1:4" ht="14.1" customHeight="1">
      <c r="A1073" s="15"/>
      <c r="C1073" s="15"/>
      <c r="D1073" s="15"/>
    </row>
    <row r="1074" spans="1:4" ht="14.1" customHeight="1">
      <c r="A1074" s="15"/>
      <c r="C1074" s="15"/>
      <c r="D1074" s="15"/>
    </row>
    <row r="1075" spans="1:4" ht="14.1" customHeight="1">
      <c r="A1075" s="15"/>
      <c r="C1075" s="15"/>
      <c r="D1075" s="15"/>
    </row>
    <row r="1076" spans="1:4" ht="14.1" customHeight="1">
      <c r="A1076" s="15"/>
      <c r="C1076" s="15"/>
      <c r="D1076" s="15"/>
    </row>
    <row r="1077" spans="1:4" ht="14.1" customHeight="1">
      <c r="A1077" s="15"/>
      <c r="C1077" s="15"/>
      <c r="D1077" s="15"/>
    </row>
    <row r="1078" spans="1:4" ht="14.1" customHeight="1">
      <c r="A1078" s="15"/>
      <c r="C1078" s="15"/>
      <c r="D1078" s="15"/>
    </row>
    <row r="1079" spans="1:4" ht="14.1" customHeight="1">
      <c r="A1079" s="15"/>
      <c r="C1079" s="15"/>
      <c r="D1079" s="15"/>
    </row>
    <row r="1080" spans="1:4" ht="14.1" customHeight="1">
      <c r="A1080" s="15"/>
      <c r="C1080" s="15"/>
      <c r="D1080" s="15"/>
    </row>
    <row r="1081" spans="1:4" ht="14.1" customHeight="1">
      <c r="A1081" s="15"/>
      <c r="C1081" s="15"/>
      <c r="D1081" s="15"/>
    </row>
    <row r="1082" spans="1:4" ht="14.1" customHeight="1">
      <c r="A1082" s="15"/>
      <c r="C1082" s="15"/>
      <c r="D1082" s="15"/>
    </row>
    <row r="1083" spans="1:4" ht="14.1" customHeight="1">
      <c r="A1083" s="15"/>
      <c r="C1083" s="15"/>
      <c r="D1083" s="15"/>
    </row>
    <row r="1084" spans="1:4" ht="14.1" customHeight="1">
      <c r="A1084" s="15"/>
      <c r="C1084" s="15"/>
      <c r="D1084" s="15"/>
    </row>
    <row r="1085" spans="1:4" ht="14.1" customHeight="1">
      <c r="A1085" s="15"/>
      <c r="C1085" s="15"/>
      <c r="D1085" s="15"/>
    </row>
    <row r="1086" spans="1:4" ht="14.1" customHeight="1">
      <c r="A1086" s="15"/>
      <c r="C1086" s="15"/>
      <c r="D1086" s="15"/>
    </row>
    <row r="1087" spans="1:4" ht="14.1" customHeight="1">
      <c r="A1087" s="15"/>
      <c r="C1087" s="15"/>
      <c r="D1087" s="15"/>
    </row>
    <row r="1088" spans="1:4" ht="14.1" customHeight="1">
      <c r="A1088" s="15"/>
      <c r="C1088" s="15"/>
      <c r="D1088" s="15"/>
    </row>
    <row r="1089" spans="1:4" ht="14.1" customHeight="1">
      <c r="A1089" s="15"/>
      <c r="C1089" s="15"/>
      <c r="D1089" s="15"/>
    </row>
    <row r="1090" spans="1:4" ht="14.1" customHeight="1">
      <c r="A1090" s="15"/>
      <c r="C1090" s="15"/>
      <c r="D1090" s="15"/>
    </row>
    <row r="1091" spans="1:4" ht="14.1" customHeight="1">
      <c r="A1091" s="15"/>
      <c r="C1091" s="15"/>
      <c r="D1091" s="15"/>
    </row>
    <row r="1092" spans="1:4" ht="14.1" customHeight="1">
      <c r="A1092" s="15"/>
      <c r="C1092" s="15"/>
      <c r="D1092" s="15"/>
    </row>
    <row r="1093" spans="1:4" ht="14.1" customHeight="1">
      <c r="A1093" s="15"/>
      <c r="C1093" s="15"/>
      <c r="D1093" s="15"/>
    </row>
    <row r="1094" spans="1:4" ht="14.1" customHeight="1">
      <c r="A1094" s="15"/>
      <c r="C1094" s="15"/>
      <c r="D1094" s="15"/>
    </row>
    <row r="1095" spans="1:4" ht="14.1" customHeight="1">
      <c r="A1095" s="15"/>
      <c r="C1095" s="15"/>
      <c r="D1095" s="15"/>
    </row>
    <row r="1096" spans="1:4" ht="14.1" customHeight="1">
      <c r="A1096" s="15"/>
      <c r="C1096" s="15"/>
      <c r="D1096" s="15"/>
    </row>
    <row r="1097" spans="1:4" ht="14.1" customHeight="1">
      <c r="A1097" s="15"/>
      <c r="C1097" s="15"/>
      <c r="D1097" s="15"/>
    </row>
    <row r="1098" spans="1:4" ht="14.1" customHeight="1">
      <c r="A1098" s="15"/>
      <c r="C1098" s="15"/>
      <c r="D1098" s="15"/>
    </row>
    <row r="1099" spans="1:4" ht="14.1" customHeight="1">
      <c r="A1099" s="15"/>
      <c r="C1099" s="15"/>
      <c r="D1099" s="15"/>
    </row>
    <row r="1100" spans="1:4" ht="14.1" customHeight="1">
      <c r="A1100" s="15"/>
      <c r="C1100" s="15"/>
      <c r="D1100" s="15"/>
    </row>
    <row r="1101" spans="1:4" ht="14.1" customHeight="1">
      <c r="A1101" s="15"/>
      <c r="C1101" s="15"/>
      <c r="D1101" s="15"/>
    </row>
    <row r="1102" spans="1:4" ht="14.1" customHeight="1">
      <c r="A1102" s="15"/>
      <c r="C1102" s="15"/>
      <c r="D1102" s="15"/>
    </row>
    <row r="1103" spans="1:4" ht="14.1" customHeight="1">
      <c r="A1103" s="15"/>
      <c r="C1103" s="15"/>
      <c r="D1103" s="15"/>
    </row>
    <row r="1104" spans="1:4" ht="14.1" customHeight="1">
      <c r="A1104" s="15"/>
      <c r="C1104" s="15"/>
      <c r="D1104" s="15"/>
    </row>
    <row r="1105" spans="1:4" ht="14.1" customHeight="1">
      <c r="A1105" s="15"/>
      <c r="C1105" s="15"/>
      <c r="D1105" s="15"/>
    </row>
    <row r="1106" spans="1:4" ht="14.1" customHeight="1">
      <c r="A1106" s="15"/>
      <c r="C1106" s="15"/>
      <c r="D1106" s="15"/>
    </row>
    <row r="1107" spans="1:4" ht="14.1" customHeight="1">
      <c r="A1107" s="15"/>
      <c r="C1107" s="15"/>
      <c r="D1107" s="15"/>
    </row>
    <row r="1108" spans="1:4" ht="14.1" customHeight="1">
      <c r="A1108" s="15"/>
      <c r="C1108" s="15"/>
      <c r="D1108" s="15"/>
    </row>
    <row r="1109" spans="1:4" ht="14.1" customHeight="1">
      <c r="A1109" s="15"/>
      <c r="C1109" s="15"/>
      <c r="D1109" s="15"/>
    </row>
    <row r="1110" spans="1:4" ht="14.1" customHeight="1">
      <c r="A1110" s="15"/>
      <c r="C1110" s="15"/>
      <c r="D1110" s="15"/>
    </row>
    <row r="1111" spans="1:4" ht="14.1" customHeight="1">
      <c r="A1111" s="15"/>
      <c r="C1111" s="15"/>
      <c r="D1111" s="15"/>
    </row>
    <row r="1112" spans="1:4" ht="14.1" customHeight="1">
      <c r="A1112" s="15"/>
      <c r="C1112" s="15"/>
      <c r="D1112" s="15"/>
    </row>
    <row r="1113" spans="1:4" ht="14.1" customHeight="1">
      <c r="A1113" s="15"/>
      <c r="C1113" s="15"/>
      <c r="D1113" s="15"/>
    </row>
    <row r="1114" spans="1:4" ht="14.1" customHeight="1">
      <c r="A1114" s="15"/>
      <c r="C1114" s="15"/>
      <c r="D1114" s="15"/>
    </row>
    <row r="1115" spans="1:4" ht="14.1" customHeight="1">
      <c r="A1115" s="15"/>
      <c r="C1115" s="15"/>
      <c r="D1115" s="15"/>
    </row>
    <row r="1116" spans="1:4" ht="14.1" customHeight="1">
      <c r="A1116" s="15"/>
      <c r="C1116" s="15"/>
      <c r="D1116" s="15"/>
    </row>
    <row r="1117" spans="1:4" ht="14.1" customHeight="1">
      <c r="A1117" s="15"/>
      <c r="C1117" s="15"/>
      <c r="D1117" s="15"/>
    </row>
    <row r="1118" spans="1:4" ht="14.1" customHeight="1">
      <c r="A1118" s="15"/>
      <c r="C1118" s="15"/>
      <c r="D1118" s="15"/>
    </row>
    <row r="1119" spans="1:4" ht="14.1" customHeight="1">
      <c r="A1119" s="15"/>
      <c r="C1119" s="15"/>
      <c r="D1119" s="15"/>
    </row>
    <row r="1120" spans="1:4" ht="14.1" customHeight="1">
      <c r="A1120" s="15"/>
      <c r="C1120" s="15"/>
      <c r="D1120" s="15"/>
    </row>
    <row r="1121" spans="1:4" ht="14.1" customHeight="1">
      <c r="A1121" s="15"/>
      <c r="C1121" s="15"/>
      <c r="D1121" s="15"/>
    </row>
    <row r="1122" spans="1:4" ht="14.1" customHeight="1">
      <c r="A1122" s="15"/>
      <c r="C1122" s="15"/>
      <c r="D1122" s="15"/>
    </row>
    <row r="1123" spans="1:4" ht="14.1" customHeight="1">
      <c r="A1123" s="15"/>
      <c r="C1123" s="15"/>
      <c r="D1123" s="15"/>
    </row>
    <row r="1124" spans="1:4" ht="14.1" customHeight="1">
      <c r="A1124" s="15"/>
      <c r="C1124" s="15"/>
      <c r="D1124" s="15"/>
    </row>
    <row r="1125" spans="1:4" ht="14.1" customHeight="1">
      <c r="A1125" s="15"/>
      <c r="C1125" s="15"/>
      <c r="D1125" s="15"/>
    </row>
    <row r="1126" spans="1:4" ht="14.1" customHeight="1">
      <c r="A1126" s="15"/>
      <c r="C1126" s="15"/>
      <c r="D1126" s="15"/>
    </row>
    <row r="1127" spans="1:4" ht="14.1" customHeight="1">
      <c r="A1127" s="15"/>
      <c r="C1127" s="15"/>
      <c r="D1127" s="15"/>
    </row>
    <row r="1128" spans="1:4" ht="14.1" customHeight="1">
      <c r="A1128" s="15"/>
      <c r="C1128" s="15"/>
      <c r="D1128" s="15"/>
    </row>
    <row r="1129" spans="1:4" ht="14.1" customHeight="1">
      <c r="A1129" s="15"/>
      <c r="C1129" s="15"/>
      <c r="D1129" s="15"/>
    </row>
    <row r="1130" spans="1:4" ht="14.1" customHeight="1">
      <c r="A1130" s="15"/>
      <c r="C1130" s="15"/>
      <c r="D1130" s="15"/>
    </row>
    <row r="1131" spans="1:4" ht="14.1" customHeight="1">
      <c r="A1131" s="15"/>
      <c r="C1131" s="15"/>
      <c r="D1131" s="15"/>
    </row>
    <row r="1132" spans="1:4" ht="14.1" customHeight="1">
      <c r="A1132" s="15"/>
      <c r="C1132" s="15"/>
      <c r="D1132" s="15"/>
    </row>
    <row r="1133" spans="1:4" ht="14.1" customHeight="1">
      <c r="A1133" s="15"/>
      <c r="C1133" s="15"/>
      <c r="D1133" s="15"/>
    </row>
    <row r="1134" spans="1:4" ht="14.1" customHeight="1">
      <c r="A1134" s="15"/>
      <c r="C1134" s="15"/>
      <c r="D1134" s="15"/>
    </row>
    <row r="1135" spans="1:4" ht="14.1" customHeight="1">
      <c r="A1135" s="15"/>
      <c r="C1135" s="15"/>
      <c r="D1135" s="15"/>
    </row>
    <row r="1136" spans="1:4" ht="14.1" customHeight="1">
      <c r="A1136" s="15"/>
      <c r="C1136" s="15"/>
      <c r="D1136" s="15"/>
    </row>
    <row r="1137" spans="1:4" ht="14.1" customHeight="1">
      <c r="A1137" s="15"/>
      <c r="C1137" s="15"/>
      <c r="D1137" s="15"/>
    </row>
    <row r="1138" spans="1:4" ht="14.1" customHeight="1">
      <c r="A1138" s="15"/>
      <c r="C1138" s="15"/>
      <c r="D1138" s="15"/>
    </row>
    <row r="1139" spans="1:4" ht="14.1" customHeight="1">
      <c r="A1139" s="15"/>
      <c r="C1139" s="15"/>
      <c r="D1139" s="15"/>
    </row>
    <row r="1140" spans="1:4" ht="14.1" customHeight="1">
      <c r="A1140" s="15"/>
      <c r="C1140" s="15"/>
      <c r="D1140" s="15"/>
    </row>
    <row r="1141" spans="1:4" ht="14.1" customHeight="1">
      <c r="A1141" s="15"/>
      <c r="C1141" s="15"/>
      <c r="D1141" s="15"/>
    </row>
    <row r="1142" spans="1:4" ht="14.1" customHeight="1">
      <c r="A1142" s="15"/>
      <c r="C1142" s="15"/>
      <c r="D1142" s="15"/>
    </row>
    <row r="1143" spans="1:4" ht="14.1" customHeight="1">
      <c r="A1143" s="15"/>
      <c r="C1143" s="15"/>
      <c r="D1143" s="15"/>
    </row>
    <row r="1144" spans="1:4" ht="14.1" customHeight="1">
      <c r="A1144" s="15"/>
      <c r="C1144" s="15"/>
      <c r="D1144" s="15"/>
    </row>
    <row r="1145" spans="1:4" ht="14.1" customHeight="1">
      <c r="A1145" s="15"/>
      <c r="C1145" s="15"/>
      <c r="D1145" s="15"/>
    </row>
    <row r="1146" spans="1:4" ht="14.1" customHeight="1">
      <c r="A1146" s="15"/>
      <c r="C1146" s="15"/>
      <c r="D1146" s="15"/>
    </row>
    <row r="1147" spans="1:4" ht="14.1" customHeight="1">
      <c r="A1147" s="15"/>
      <c r="C1147" s="15"/>
      <c r="D1147" s="15"/>
    </row>
    <row r="1148" spans="1:4" ht="14.1" customHeight="1">
      <c r="A1148" s="15"/>
      <c r="C1148" s="15"/>
      <c r="D1148" s="15"/>
    </row>
    <row r="1149" spans="1:4" ht="14.1" customHeight="1">
      <c r="A1149" s="15"/>
      <c r="C1149" s="15"/>
      <c r="D1149" s="15"/>
    </row>
    <row r="1150" spans="1:4" ht="14.1" customHeight="1">
      <c r="A1150" s="15"/>
      <c r="C1150" s="15"/>
      <c r="D1150" s="15"/>
    </row>
    <row r="1151" spans="1:4" ht="14.1" customHeight="1">
      <c r="A1151" s="15"/>
      <c r="C1151" s="15"/>
      <c r="D1151" s="15"/>
    </row>
    <row r="1152" spans="1:4" ht="14.1" customHeight="1">
      <c r="A1152" s="15"/>
      <c r="C1152" s="15"/>
      <c r="D1152" s="15"/>
    </row>
    <row r="1153" spans="1:4" ht="14.1" customHeight="1">
      <c r="A1153" s="15"/>
      <c r="C1153" s="15"/>
      <c r="D1153" s="15"/>
    </row>
    <row r="1154" spans="1:4" ht="14.1" customHeight="1">
      <c r="A1154" s="15"/>
      <c r="C1154" s="15"/>
      <c r="D1154" s="15"/>
    </row>
    <row r="1155" spans="1:4" ht="14.1" customHeight="1">
      <c r="A1155" s="15"/>
      <c r="C1155" s="15"/>
      <c r="D1155" s="15"/>
    </row>
    <row r="1156" spans="1:4" ht="14.1" customHeight="1">
      <c r="A1156" s="15"/>
      <c r="C1156" s="15"/>
      <c r="D1156" s="15"/>
    </row>
    <row r="1157" spans="1:4" ht="14.1" customHeight="1">
      <c r="A1157" s="15"/>
      <c r="C1157" s="15"/>
      <c r="D1157" s="15"/>
    </row>
    <row r="1158" spans="1:4" ht="14.1" customHeight="1">
      <c r="A1158" s="15"/>
      <c r="C1158" s="15"/>
      <c r="D1158" s="15"/>
    </row>
    <row r="1159" spans="1:4" ht="14.1" customHeight="1">
      <c r="A1159" s="15"/>
      <c r="C1159" s="15"/>
      <c r="D1159" s="15"/>
    </row>
    <row r="1160" spans="1:4" ht="14.1" customHeight="1">
      <c r="A1160" s="15"/>
      <c r="C1160" s="15"/>
      <c r="D1160" s="15"/>
    </row>
    <row r="1161" spans="1:4" ht="14.1" customHeight="1">
      <c r="A1161" s="15"/>
      <c r="C1161" s="15"/>
      <c r="D1161" s="15"/>
    </row>
    <row r="1162" spans="1:4" ht="14.1" customHeight="1">
      <c r="A1162" s="15"/>
      <c r="C1162" s="15"/>
      <c r="D1162" s="15"/>
    </row>
    <row r="1163" spans="1:4" ht="14.1" customHeight="1">
      <c r="A1163" s="15"/>
      <c r="C1163" s="15"/>
      <c r="D1163" s="15"/>
    </row>
    <row r="1164" spans="1:4" ht="14.1" customHeight="1">
      <c r="A1164" s="15"/>
      <c r="C1164" s="15"/>
      <c r="D1164" s="15"/>
    </row>
    <row r="1165" spans="1:4" ht="14.1" customHeight="1">
      <c r="A1165" s="15"/>
      <c r="C1165" s="15"/>
      <c r="D1165" s="15"/>
    </row>
    <row r="1166" spans="1:4" ht="14.1" customHeight="1">
      <c r="A1166" s="15"/>
      <c r="C1166" s="15"/>
      <c r="D1166" s="15"/>
    </row>
    <row r="1167" spans="1:4" ht="14.1" customHeight="1">
      <c r="A1167" s="15"/>
      <c r="C1167" s="15"/>
      <c r="D1167" s="15"/>
    </row>
    <row r="1168" spans="1:4" ht="14.1" customHeight="1">
      <c r="A1168" s="15"/>
      <c r="C1168" s="15"/>
      <c r="D1168" s="15"/>
    </row>
    <row r="1169" spans="1:4" ht="14.1" customHeight="1">
      <c r="A1169" s="15"/>
      <c r="C1169" s="15"/>
      <c r="D1169" s="15"/>
    </row>
    <row r="1170" spans="1:4" ht="14.1" customHeight="1">
      <c r="A1170" s="15"/>
      <c r="C1170" s="15"/>
      <c r="D1170" s="15"/>
    </row>
    <row r="1171" spans="1:4" ht="14.1" customHeight="1">
      <c r="A1171" s="15"/>
      <c r="C1171" s="15"/>
      <c r="D1171" s="15"/>
    </row>
    <row r="1172" spans="1:4" ht="14.1" customHeight="1">
      <c r="A1172" s="15"/>
      <c r="C1172" s="15"/>
      <c r="D1172" s="15"/>
    </row>
    <row r="1173" spans="1:4" ht="14.1" customHeight="1">
      <c r="A1173" s="15"/>
      <c r="C1173" s="15"/>
      <c r="D1173" s="15"/>
    </row>
    <row r="1174" spans="1:4" ht="14.1" customHeight="1">
      <c r="A1174" s="15"/>
      <c r="C1174" s="15"/>
      <c r="D1174" s="15"/>
    </row>
    <row r="1175" spans="1:4" ht="14.1" customHeight="1">
      <c r="A1175" s="15"/>
      <c r="C1175" s="15"/>
      <c r="D1175" s="15"/>
    </row>
    <row r="1176" spans="1:4" ht="14.1" customHeight="1">
      <c r="A1176" s="15"/>
      <c r="C1176" s="15"/>
      <c r="D1176" s="15"/>
    </row>
    <row r="1177" spans="1:4" ht="14.1" customHeight="1">
      <c r="A1177" s="15"/>
      <c r="C1177" s="15"/>
      <c r="D1177" s="15"/>
    </row>
    <row r="1178" spans="1:4" ht="14.1" customHeight="1">
      <c r="A1178" s="15"/>
      <c r="C1178" s="15"/>
      <c r="D1178" s="15"/>
    </row>
    <row r="1179" spans="1:4" ht="14.1" customHeight="1">
      <c r="A1179" s="15"/>
      <c r="C1179" s="15"/>
      <c r="D1179" s="15"/>
    </row>
    <row r="1180" spans="1:4" ht="14.1" customHeight="1">
      <c r="A1180" s="15"/>
      <c r="C1180" s="15"/>
      <c r="D1180" s="15"/>
    </row>
    <row r="1181" spans="1:4" ht="14.1" customHeight="1">
      <c r="A1181" s="15"/>
      <c r="C1181" s="15"/>
      <c r="D1181" s="15"/>
    </row>
    <row r="1182" spans="1:4" ht="14.1" customHeight="1">
      <c r="A1182" s="15"/>
      <c r="C1182" s="15"/>
      <c r="D1182" s="15"/>
    </row>
    <row r="1183" spans="1:4" ht="14.1" customHeight="1">
      <c r="A1183" s="15"/>
      <c r="C1183" s="15"/>
      <c r="D1183" s="15"/>
    </row>
    <row r="1184" spans="1:4" ht="14.1" customHeight="1">
      <c r="A1184" s="15"/>
      <c r="C1184" s="15"/>
      <c r="D1184" s="15"/>
    </row>
    <row r="1185" spans="1:4" ht="14.1" customHeight="1">
      <c r="A1185" s="15"/>
      <c r="C1185" s="15"/>
      <c r="D1185" s="15"/>
    </row>
    <row r="1186" spans="1:4" ht="14.1" customHeight="1">
      <c r="A1186" s="15"/>
      <c r="C1186" s="15"/>
      <c r="D1186" s="15"/>
    </row>
    <row r="1187" spans="1:4" ht="14.1" customHeight="1">
      <c r="A1187" s="15"/>
      <c r="C1187" s="15"/>
      <c r="D1187" s="15"/>
    </row>
    <row r="1188" spans="1:4" ht="14.1" customHeight="1">
      <c r="A1188" s="15"/>
      <c r="C1188" s="15"/>
      <c r="D1188" s="15"/>
    </row>
    <row r="1189" spans="1:4" ht="14.1" customHeight="1">
      <c r="A1189" s="15"/>
      <c r="C1189" s="15"/>
      <c r="D1189" s="15"/>
    </row>
    <row r="1190" spans="1:4" ht="14.1" customHeight="1">
      <c r="A1190" s="15"/>
      <c r="C1190" s="15"/>
      <c r="D1190" s="15"/>
    </row>
    <row r="1191" spans="1:4" ht="14.1" customHeight="1">
      <c r="A1191" s="15"/>
      <c r="C1191" s="15"/>
      <c r="D1191" s="15"/>
    </row>
    <row r="1192" spans="1:4" ht="14.1" customHeight="1">
      <c r="A1192" s="15"/>
      <c r="C1192" s="15"/>
      <c r="D1192" s="15"/>
    </row>
    <row r="1193" spans="1:4" ht="14.1" customHeight="1">
      <c r="A1193" s="15"/>
      <c r="C1193" s="15"/>
      <c r="D1193" s="15"/>
    </row>
    <row r="1194" spans="1:4" ht="14.1" customHeight="1">
      <c r="A1194" s="15"/>
      <c r="C1194" s="15"/>
      <c r="D1194" s="15"/>
    </row>
    <row r="1195" spans="1:4" ht="14.1" customHeight="1">
      <c r="A1195" s="15"/>
      <c r="C1195" s="15"/>
      <c r="D1195" s="15"/>
    </row>
    <row r="1196" spans="1:4" ht="14.1" customHeight="1">
      <c r="A1196" s="15"/>
      <c r="C1196" s="15"/>
      <c r="D1196" s="15"/>
    </row>
    <row r="1197" spans="1:4" ht="14.1" customHeight="1">
      <c r="A1197" s="15"/>
      <c r="C1197" s="15"/>
      <c r="D1197" s="15"/>
    </row>
    <row r="1198" spans="1:4" ht="14.1" customHeight="1">
      <c r="A1198" s="15"/>
      <c r="C1198" s="15"/>
      <c r="D1198" s="15"/>
    </row>
    <row r="1199" spans="1:4" ht="14.1" customHeight="1">
      <c r="A1199" s="15"/>
      <c r="C1199" s="15"/>
      <c r="D1199" s="15"/>
    </row>
    <row r="1200" spans="1:4" ht="14.1" customHeight="1">
      <c r="A1200" s="15"/>
      <c r="C1200" s="15"/>
      <c r="D1200" s="15"/>
    </row>
    <row r="1201" spans="1:4" ht="14.1" customHeight="1">
      <c r="A1201" s="15"/>
      <c r="C1201" s="15"/>
      <c r="D1201" s="15"/>
    </row>
    <row r="1202" spans="1:4" ht="14.1" customHeight="1">
      <c r="A1202" s="15"/>
      <c r="C1202" s="15"/>
      <c r="D1202" s="15"/>
    </row>
    <row r="1203" spans="1:4" ht="14.1" customHeight="1">
      <c r="A1203" s="15"/>
      <c r="C1203" s="15"/>
      <c r="D1203" s="15"/>
    </row>
    <row r="1204" spans="1:4" ht="14.1" customHeight="1">
      <c r="A1204" s="15"/>
      <c r="C1204" s="15"/>
      <c r="D1204" s="15"/>
    </row>
    <row r="1205" spans="1:4" ht="14.1" customHeight="1">
      <c r="A1205" s="15"/>
      <c r="C1205" s="15"/>
      <c r="D1205" s="15"/>
    </row>
    <row r="1206" spans="1:4" ht="14.1" customHeight="1">
      <c r="A1206" s="15"/>
      <c r="C1206" s="15"/>
      <c r="D1206" s="15"/>
    </row>
    <row r="1207" spans="1:4" ht="14.1" customHeight="1">
      <c r="A1207" s="15"/>
      <c r="C1207" s="15"/>
      <c r="D1207" s="15"/>
    </row>
    <row r="1208" spans="1:4" ht="14.1" customHeight="1">
      <c r="A1208" s="15"/>
      <c r="C1208" s="15"/>
      <c r="D1208" s="15"/>
    </row>
    <row r="1209" spans="1:4" ht="14.1" customHeight="1">
      <c r="A1209" s="15"/>
      <c r="C1209" s="15"/>
      <c r="D1209" s="15"/>
    </row>
    <row r="1210" spans="1:4" ht="14.1" customHeight="1">
      <c r="A1210" s="15"/>
      <c r="C1210" s="15"/>
      <c r="D1210" s="15"/>
    </row>
    <row r="1211" spans="1:4" ht="14.1" customHeight="1">
      <c r="A1211" s="15"/>
      <c r="C1211" s="15"/>
      <c r="D1211" s="15"/>
    </row>
    <row r="1212" spans="1:4" ht="14.1" customHeight="1">
      <c r="A1212" s="15"/>
      <c r="C1212" s="15"/>
      <c r="D1212" s="15"/>
    </row>
    <row r="1213" spans="1:4" ht="14.1" customHeight="1">
      <c r="A1213" s="15"/>
      <c r="C1213" s="15"/>
      <c r="D1213" s="15"/>
    </row>
    <row r="1214" spans="1:4" ht="14.1" customHeight="1">
      <c r="A1214" s="15"/>
      <c r="C1214" s="15"/>
      <c r="D1214" s="15"/>
    </row>
    <row r="1215" spans="1:4" ht="14.1" customHeight="1">
      <c r="A1215" s="15"/>
      <c r="C1215" s="15"/>
      <c r="D1215" s="15"/>
    </row>
    <row r="1216" spans="1:4" ht="14.1" customHeight="1">
      <c r="A1216" s="15"/>
      <c r="C1216" s="15"/>
      <c r="D1216" s="15"/>
    </row>
    <row r="1217" spans="1:4" ht="14.1" customHeight="1">
      <c r="A1217" s="15"/>
      <c r="C1217" s="15"/>
      <c r="D1217" s="15"/>
    </row>
    <row r="1218" spans="1:4" ht="14.1" customHeight="1">
      <c r="A1218" s="15"/>
      <c r="C1218" s="15"/>
      <c r="D1218" s="15"/>
    </row>
    <row r="1219" spans="1:4" ht="14.1" customHeight="1">
      <c r="A1219" s="15"/>
      <c r="C1219" s="15"/>
      <c r="D1219" s="15"/>
    </row>
    <row r="1220" spans="1:4" ht="14.1" customHeight="1">
      <c r="A1220" s="15"/>
      <c r="C1220" s="15"/>
      <c r="D1220" s="15"/>
    </row>
    <row r="1221" spans="1:4" ht="14.1" customHeight="1">
      <c r="A1221" s="15"/>
      <c r="C1221" s="15"/>
      <c r="D1221" s="15"/>
    </row>
    <row r="1222" spans="1:4" ht="14.1" customHeight="1">
      <c r="A1222" s="15"/>
      <c r="C1222" s="15"/>
      <c r="D1222" s="15"/>
    </row>
    <row r="1223" spans="1:4" ht="14.1" customHeight="1">
      <c r="A1223" s="15"/>
      <c r="C1223" s="15"/>
      <c r="D1223" s="15"/>
    </row>
    <row r="1224" spans="1:4" ht="14.1" customHeight="1">
      <c r="A1224" s="15"/>
      <c r="C1224" s="15"/>
      <c r="D1224" s="15"/>
    </row>
    <row r="1225" spans="1:4" ht="14.1" customHeight="1">
      <c r="A1225" s="15"/>
      <c r="C1225" s="15"/>
      <c r="D1225" s="15"/>
    </row>
    <row r="1226" spans="1:4" ht="14.1" customHeight="1">
      <c r="A1226" s="15"/>
      <c r="C1226" s="15"/>
      <c r="D1226" s="15"/>
    </row>
    <row r="1227" spans="1:4" ht="14.1" customHeight="1">
      <c r="A1227" s="15"/>
      <c r="C1227" s="15"/>
      <c r="D1227" s="15"/>
    </row>
    <row r="1228" spans="1:4" ht="14.1" customHeight="1">
      <c r="A1228" s="15"/>
      <c r="C1228" s="15"/>
      <c r="D1228" s="15"/>
    </row>
    <row r="1229" spans="1:4" ht="14.1" customHeight="1">
      <c r="A1229" s="15"/>
      <c r="C1229" s="15"/>
      <c r="D1229" s="15"/>
    </row>
    <row r="1230" spans="1:4" ht="14.1" customHeight="1">
      <c r="A1230" s="15"/>
      <c r="C1230" s="15"/>
      <c r="D1230" s="15"/>
    </row>
    <row r="1231" spans="1:4" ht="14.1" customHeight="1">
      <c r="A1231" s="15"/>
      <c r="C1231" s="15"/>
      <c r="D1231" s="15"/>
    </row>
    <row r="1232" spans="1:4" ht="14.1" customHeight="1">
      <c r="A1232" s="15"/>
      <c r="C1232" s="15"/>
      <c r="D1232" s="15"/>
    </row>
    <row r="1233" spans="1:4" ht="14.1" customHeight="1">
      <c r="A1233" s="15"/>
      <c r="C1233" s="15"/>
      <c r="D1233" s="15"/>
    </row>
    <row r="1234" spans="1:4" ht="14.1" customHeight="1">
      <c r="A1234" s="15"/>
      <c r="C1234" s="15"/>
      <c r="D1234" s="15"/>
    </row>
    <row r="1235" spans="1:4" ht="14.1" customHeight="1">
      <c r="A1235" s="15"/>
      <c r="C1235" s="15"/>
      <c r="D1235" s="15"/>
    </row>
    <row r="1236" spans="1:4" ht="14.1" customHeight="1">
      <c r="A1236" s="15"/>
      <c r="C1236" s="15"/>
      <c r="D1236" s="15"/>
    </row>
    <row r="1237" spans="1:4" ht="14.1" customHeight="1">
      <c r="A1237" s="15"/>
      <c r="C1237" s="15"/>
      <c r="D1237" s="15"/>
    </row>
    <row r="1238" spans="1:4" ht="14.1" customHeight="1">
      <c r="A1238" s="15"/>
      <c r="C1238" s="15"/>
      <c r="D1238" s="15"/>
    </row>
    <row r="1239" spans="1:4" ht="14.1" customHeight="1">
      <c r="A1239" s="15"/>
      <c r="C1239" s="15"/>
      <c r="D1239" s="15"/>
    </row>
    <row r="1240" spans="1:4" ht="14.1" customHeight="1">
      <c r="A1240" s="15"/>
      <c r="C1240" s="15"/>
      <c r="D1240" s="15"/>
    </row>
    <row r="1241" spans="1:4" ht="14.1" customHeight="1">
      <c r="A1241" s="15"/>
      <c r="C1241" s="15"/>
      <c r="D1241" s="15"/>
    </row>
    <row r="1242" spans="1:4" ht="14.1" customHeight="1">
      <c r="A1242" s="15"/>
      <c r="C1242" s="15"/>
      <c r="D1242" s="15"/>
    </row>
    <row r="1243" spans="1:4" ht="14.1" customHeight="1">
      <c r="A1243" s="15"/>
      <c r="C1243" s="15"/>
      <c r="D1243" s="15"/>
    </row>
    <row r="1244" spans="1:4" ht="14.1" customHeight="1">
      <c r="A1244" s="15"/>
      <c r="C1244" s="15"/>
      <c r="D1244" s="15"/>
    </row>
    <row r="1245" spans="1:4" ht="14.1" customHeight="1">
      <c r="A1245" s="15"/>
      <c r="C1245" s="15"/>
      <c r="D1245" s="15"/>
    </row>
    <row r="1246" spans="1:4" ht="14.1" customHeight="1">
      <c r="A1246" s="15"/>
      <c r="C1246" s="15"/>
      <c r="D1246" s="15"/>
    </row>
    <row r="1247" spans="1:4" ht="14.1" customHeight="1">
      <c r="A1247" s="15"/>
      <c r="C1247" s="15"/>
      <c r="D1247" s="15"/>
    </row>
    <row r="1248" spans="1:4" ht="14.1" customHeight="1">
      <c r="A1248" s="15"/>
      <c r="C1248" s="15"/>
      <c r="D1248" s="15"/>
    </row>
    <row r="1249" spans="1:4" ht="14.1" customHeight="1">
      <c r="A1249" s="15"/>
      <c r="C1249" s="15"/>
      <c r="D1249" s="15"/>
    </row>
    <row r="1250" spans="1:4" ht="14.1" customHeight="1">
      <c r="A1250" s="15"/>
      <c r="C1250" s="15"/>
      <c r="D1250" s="15"/>
    </row>
    <row r="1251" spans="1:4" ht="14.1" customHeight="1">
      <c r="A1251" s="15"/>
      <c r="C1251" s="15"/>
      <c r="D1251" s="15"/>
    </row>
    <row r="1252" spans="1:4" ht="14.1" customHeight="1">
      <c r="A1252" s="15"/>
      <c r="C1252" s="15"/>
      <c r="D1252" s="15"/>
    </row>
    <row r="1253" spans="1:4" ht="14.1" customHeight="1">
      <c r="A1253" s="15"/>
      <c r="C1253" s="15"/>
      <c r="D1253" s="15"/>
    </row>
    <row r="1254" spans="1:4" ht="14.1" customHeight="1">
      <c r="A1254" s="15"/>
      <c r="C1254" s="15"/>
      <c r="D1254" s="15"/>
    </row>
    <row r="1255" spans="1:4" ht="14.1" customHeight="1">
      <c r="A1255" s="15"/>
      <c r="C1255" s="15"/>
      <c r="D1255" s="15"/>
    </row>
    <row r="1256" spans="1:4" ht="14.1" customHeight="1">
      <c r="A1256" s="15"/>
      <c r="C1256" s="15"/>
      <c r="D1256" s="15"/>
    </row>
    <row r="1257" spans="1:4" ht="14.1" customHeight="1">
      <c r="A1257" s="15"/>
      <c r="C1257" s="15"/>
      <c r="D1257" s="15"/>
    </row>
    <row r="1258" spans="1:4" ht="14.1" customHeight="1">
      <c r="A1258" s="15"/>
      <c r="C1258" s="15"/>
      <c r="D1258" s="15"/>
    </row>
    <row r="1259" spans="1:4" ht="14.1" customHeight="1">
      <c r="A1259" s="15"/>
      <c r="C1259" s="15"/>
      <c r="D1259" s="15"/>
    </row>
    <row r="1260" spans="1:4" ht="14.1" customHeight="1">
      <c r="A1260" s="15"/>
      <c r="C1260" s="15"/>
      <c r="D1260" s="15"/>
    </row>
    <row r="1261" spans="1:4" ht="14.1" customHeight="1">
      <c r="A1261" s="15"/>
      <c r="C1261" s="15"/>
      <c r="D1261" s="15"/>
    </row>
    <row r="1262" spans="1:4" ht="14.1" customHeight="1">
      <c r="A1262" s="15"/>
      <c r="C1262" s="15"/>
      <c r="D1262" s="15"/>
    </row>
    <row r="1263" spans="1:4" ht="14.1" customHeight="1">
      <c r="A1263" s="15"/>
      <c r="C1263" s="15"/>
      <c r="D1263" s="15"/>
    </row>
    <row r="1264" spans="1:4" ht="14.1" customHeight="1">
      <c r="A1264" s="15"/>
      <c r="C1264" s="15"/>
      <c r="D1264" s="15"/>
    </row>
    <row r="1265" spans="1:4" ht="14.1" customHeight="1">
      <c r="A1265" s="15"/>
      <c r="C1265" s="15"/>
      <c r="D1265" s="15"/>
    </row>
    <row r="1266" spans="1:4" ht="14.1" customHeight="1">
      <c r="A1266" s="15"/>
      <c r="C1266" s="15"/>
      <c r="D1266" s="15"/>
    </row>
    <row r="1267" spans="1:4" ht="14.1" customHeight="1">
      <c r="A1267" s="15"/>
      <c r="C1267" s="15"/>
      <c r="D1267" s="15"/>
    </row>
    <row r="1268" spans="1:4" ht="14.1" customHeight="1">
      <c r="A1268" s="15"/>
      <c r="C1268" s="15"/>
      <c r="D1268" s="15"/>
    </row>
    <row r="1269" spans="1:4" ht="14.1" customHeight="1">
      <c r="A1269" s="15"/>
      <c r="C1269" s="15"/>
      <c r="D1269" s="15"/>
    </row>
    <row r="1270" spans="1:4" ht="14.1" customHeight="1">
      <c r="A1270" s="15"/>
      <c r="C1270" s="15"/>
      <c r="D1270" s="15"/>
    </row>
    <row r="1271" spans="1:4" ht="14.1" customHeight="1">
      <c r="A1271" s="15"/>
      <c r="C1271" s="15"/>
      <c r="D1271" s="15"/>
    </row>
    <row r="1272" spans="1:4" ht="14.1" customHeight="1">
      <c r="A1272" s="15"/>
      <c r="C1272" s="15"/>
      <c r="D1272" s="15"/>
    </row>
    <row r="1273" spans="1:4" ht="14.1" customHeight="1">
      <c r="A1273" s="15"/>
      <c r="C1273" s="15"/>
      <c r="D1273" s="15"/>
    </row>
    <row r="1274" spans="1:4" ht="14.1" customHeight="1">
      <c r="A1274" s="15"/>
      <c r="C1274" s="15"/>
      <c r="D1274" s="15"/>
    </row>
    <row r="1275" spans="1:4" ht="14.1" customHeight="1">
      <c r="A1275" s="15"/>
      <c r="C1275" s="15"/>
      <c r="D1275" s="15"/>
    </row>
    <row r="1276" spans="1:4" ht="14.1" customHeight="1">
      <c r="A1276" s="15"/>
      <c r="C1276" s="15"/>
      <c r="D1276" s="15"/>
    </row>
    <row r="1277" spans="1:4" ht="14.1" customHeight="1">
      <c r="A1277" s="15"/>
      <c r="C1277" s="15"/>
      <c r="D1277" s="15"/>
    </row>
    <row r="1278" spans="1:4" ht="14.1" customHeight="1">
      <c r="A1278" s="15"/>
      <c r="C1278" s="15"/>
      <c r="D1278" s="15"/>
    </row>
    <row r="1279" spans="1:4" ht="14.1" customHeight="1">
      <c r="A1279" s="15"/>
      <c r="C1279" s="15"/>
      <c r="D1279" s="15"/>
    </row>
    <row r="1280" spans="1:4" ht="14.1" customHeight="1">
      <c r="A1280" s="15"/>
      <c r="C1280" s="15"/>
      <c r="D1280" s="15"/>
    </row>
    <row r="1281" spans="1:4" ht="14.1" customHeight="1">
      <c r="A1281" s="15"/>
      <c r="C1281" s="15"/>
      <c r="D1281" s="15"/>
    </row>
    <row r="1282" spans="1:4" ht="14.1" customHeight="1">
      <c r="A1282" s="15"/>
      <c r="C1282" s="15"/>
      <c r="D1282" s="15"/>
    </row>
    <row r="1283" spans="1:4" ht="14.1" customHeight="1">
      <c r="A1283" s="15"/>
      <c r="C1283" s="15"/>
      <c r="D1283" s="15"/>
    </row>
    <row r="1284" spans="1:4" ht="14.1" customHeight="1">
      <c r="A1284" s="15"/>
      <c r="C1284" s="15"/>
      <c r="D1284" s="15"/>
    </row>
    <row r="1285" spans="1:4" ht="14.1" customHeight="1">
      <c r="A1285" s="15"/>
      <c r="C1285" s="15"/>
      <c r="D1285" s="15"/>
    </row>
    <row r="1286" spans="1:4" ht="14.1" customHeight="1">
      <c r="A1286" s="15"/>
      <c r="C1286" s="15"/>
      <c r="D1286" s="15"/>
    </row>
    <row r="1287" spans="1:4" ht="14.1" customHeight="1">
      <c r="A1287" s="15"/>
      <c r="C1287" s="15"/>
      <c r="D1287" s="15"/>
    </row>
    <row r="1288" spans="1:4" ht="14.1" customHeight="1">
      <c r="A1288" s="15"/>
      <c r="C1288" s="15"/>
      <c r="D1288" s="15"/>
    </row>
    <row r="1289" spans="1:4" ht="14.1" customHeight="1">
      <c r="A1289" s="15"/>
      <c r="C1289" s="15"/>
      <c r="D1289" s="15"/>
    </row>
    <row r="1290" spans="1:4" ht="14.1" customHeight="1">
      <c r="A1290" s="15"/>
      <c r="C1290" s="15"/>
      <c r="D1290" s="15"/>
    </row>
    <row r="1291" spans="1:4" ht="14.1" customHeight="1">
      <c r="A1291" s="15"/>
      <c r="C1291" s="15"/>
      <c r="D1291" s="15"/>
    </row>
    <row r="1292" spans="1:4" ht="14.1" customHeight="1">
      <c r="A1292" s="15"/>
      <c r="C1292" s="15"/>
      <c r="D1292" s="15"/>
    </row>
    <row r="1293" spans="1:4" ht="14.1" customHeight="1">
      <c r="A1293" s="15"/>
      <c r="C1293" s="15"/>
      <c r="D1293" s="15"/>
    </row>
    <row r="1294" spans="1:4" ht="14.1" customHeight="1">
      <c r="A1294" s="15"/>
      <c r="C1294" s="15"/>
      <c r="D1294" s="15"/>
    </row>
    <row r="1295" spans="1:4" ht="14.1" customHeight="1">
      <c r="A1295" s="15"/>
      <c r="C1295" s="15"/>
      <c r="D1295" s="15"/>
    </row>
    <row r="1296" spans="1:4" ht="14.1" customHeight="1">
      <c r="A1296" s="15"/>
      <c r="C1296" s="15"/>
      <c r="D1296" s="15"/>
    </row>
    <row r="1297" spans="1:4" ht="14.1" customHeight="1">
      <c r="A1297" s="15"/>
      <c r="C1297" s="15"/>
      <c r="D1297" s="15"/>
    </row>
    <row r="1298" spans="1:4" ht="14.1" customHeight="1">
      <c r="A1298" s="15"/>
      <c r="C1298" s="15"/>
      <c r="D1298" s="15"/>
    </row>
    <row r="1299" spans="1:4" ht="14.1" customHeight="1">
      <c r="A1299" s="15"/>
      <c r="C1299" s="15"/>
      <c r="D1299" s="15"/>
    </row>
    <row r="1300" spans="1:4" ht="14.1" customHeight="1">
      <c r="A1300" s="15"/>
      <c r="C1300" s="15"/>
      <c r="D1300" s="15"/>
    </row>
    <row r="1301" spans="1:4" ht="14.1" customHeight="1">
      <c r="A1301" s="15"/>
      <c r="C1301" s="15"/>
      <c r="D1301" s="15"/>
    </row>
    <row r="1302" spans="1:4" ht="14.1" customHeight="1">
      <c r="A1302" s="15"/>
      <c r="C1302" s="15"/>
      <c r="D1302" s="15"/>
    </row>
    <row r="1303" spans="1:4" ht="14.1" customHeight="1">
      <c r="A1303" s="15"/>
      <c r="C1303" s="15"/>
      <c r="D1303" s="15"/>
    </row>
    <row r="1304" spans="1:4" ht="14.1" customHeight="1">
      <c r="A1304" s="15"/>
      <c r="C1304" s="15"/>
      <c r="D1304" s="15"/>
    </row>
    <row r="1305" spans="1:4" ht="14.1" customHeight="1">
      <c r="A1305" s="15"/>
      <c r="C1305" s="15"/>
      <c r="D1305" s="15"/>
    </row>
    <row r="1306" spans="1:4" ht="14.1" customHeight="1">
      <c r="A1306" s="15"/>
      <c r="C1306" s="15"/>
      <c r="D1306" s="15"/>
    </row>
    <row r="1307" spans="1:4" ht="14.1" customHeight="1">
      <c r="A1307" s="15"/>
      <c r="C1307" s="15"/>
      <c r="D1307" s="15"/>
    </row>
    <row r="1308" spans="1:4" ht="14.1" customHeight="1">
      <c r="A1308" s="15"/>
      <c r="C1308" s="15"/>
      <c r="D1308" s="15"/>
    </row>
    <row r="1309" spans="1:4" ht="14.1" customHeight="1">
      <c r="A1309" s="15"/>
      <c r="C1309" s="15"/>
      <c r="D1309" s="15"/>
    </row>
    <row r="1310" spans="1:4" ht="14.1" customHeight="1">
      <c r="A1310" s="15"/>
      <c r="C1310" s="15"/>
      <c r="D1310" s="15"/>
    </row>
    <row r="1311" spans="1:4" ht="14.1" customHeight="1">
      <c r="A1311" s="15"/>
      <c r="C1311" s="15"/>
      <c r="D1311" s="15"/>
    </row>
    <row r="1312" spans="1:4" ht="14.1" customHeight="1">
      <c r="A1312" s="15"/>
      <c r="C1312" s="15"/>
      <c r="D1312" s="15"/>
    </row>
    <row r="1313" spans="1:4" ht="14.1" customHeight="1">
      <c r="A1313" s="15"/>
      <c r="C1313" s="15"/>
      <c r="D1313" s="15"/>
    </row>
    <row r="1314" spans="1:4" ht="14.1" customHeight="1">
      <c r="A1314" s="15"/>
      <c r="C1314" s="15"/>
      <c r="D1314" s="15"/>
    </row>
    <row r="1315" spans="1:4" ht="14.1" customHeight="1">
      <c r="A1315" s="15"/>
      <c r="C1315" s="15"/>
      <c r="D1315" s="15"/>
    </row>
    <row r="1316" spans="1:4" ht="14.1" customHeight="1">
      <c r="A1316" s="15"/>
      <c r="C1316" s="15"/>
      <c r="D1316" s="15"/>
    </row>
    <row r="1317" spans="1:4" ht="14.1" customHeight="1">
      <c r="A1317" s="15"/>
      <c r="C1317" s="15"/>
      <c r="D1317" s="15"/>
    </row>
    <row r="1318" spans="1:4" ht="14.1" customHeight="1">
      <c r="A1318" s="15"/>
      <c r="C1318" s="15"/>
      <c r="D1318" s="15"/>
    </row>
    <row r="1319" spans="1:4" ht="14.1" customHeight="1">
      <c r="A1319" s="15"/>
      <c r="C1319" s="15"/>
      <c r="D1319" s="15"/>
    </row>
    <row r="1320" spans="1:4" ht="14.1" customHeight="1">
      <c r="A1320" s="15"/>
      <c r="C1320" s="15"/>
      <c r="D1320" s="15"/>
    </row>
    <row r="1321" spans="1:4" ht="14.1" customHeight="1">
      <c r="A1321" s="15"/>
      <c r="C1321" s="15"/>
      <c r="D1321" s="15"/>
    </row>
    <row r="1322" spans="1:4" ht="14.1" customHeight="1">
      <c r="A1322" s="15"/>
      <c r="C1322" s="15"/>
      <c r="D1322" s="15"/>
    </row>
    <row r="1323" spans="1:4" ht="14.1" customHeight="1">
      <c r="A1323" s="15"/>
      <c r="C1323" s="15"/>
      <c r="D1323" s="15"/>
    </row>
    <row r="1324" spans="1:4" ht="14.1" customHeight="1">
      <c r="A1324" s="15"/>
      <c r="C1324" s="15"/>
      <c r="D1324" s="15"/>
    </row>
    <row r="1325" spans="1:4" ht="14.1" customHeight="1">
      <c r="A1325" s="15"/>
      <c r="C1325" s="15"/>
      <c r="D1325" s="15"/>
    </row>
    <row r="1326" spans="1:4" ht="14.1" customHeight="1">
      <c r="A1326" s="15"/>
      <c r="C1326" s="15"/>
      <c r="D1326" s="15"/>
    </row>
    <row r="1327" spans="1:4" ht="14.1" customHeight="1">
      <c r="A1327" s="15"/>
      <c r="C1327" s="15"/>
      <c r="D1327" s="15"/>
    </row>
    <row r="1328" spans="1:4" ht="14.1" customHeight="1">
      <c r="A1328" s="15"/>
      <c r="C1328" s="15"/>
      <c r="D1328" s="15"/>
    </row>
    <row r="1329" spans="1:4" ht="14.1" customHeight="1">
      <c r="A1329" s="15"/>
      <c r="C1329" s="15"/>
      <c r="D1329" s="15"/>
    </row>
    <row r="1330" spans="1:4" ht="14.1" customHeight="1">
      <c r="A1330" s="15"/>
      <c r="C1330" s="15"/>
      <c r="D1330" s="15"/>
    </row>
    <row r="1331" spans="1:4" ht="14.1" customHeight="1">
      <c r="A1331" s="15"/>
      <c r="C1331" s="15"/>
      <c r="D1331" s="15"/>
    </row>
    <row r="1332" spans="1:4" ht="14.1" customHeight="1">
      <c r="A1332" s="15"/>
      <c r="C1332" s="15"/>
      <c r="D1332" s="15"/>
    </row>
    <row r="1333" spans="1:4" ht="14.1" customHeight="1">
      <c r="A1333" s="15"/>
      <c r="C1333" s="15"/>
      <c r="D1333" s="15"/>
    </row>
    <row r="1334" spans="1:4" ht="14.1" customHeight="1">
      <c r="A1334" s="15"/>
      <c r="C1334" s="15"/>
      <c r="D1334" s="15"/>
    </row>
    <row r="1335" spans="1:4" ht="14.1" customHeight="1">
      <c r="A1335" s="15"/>
      <c r="C1335" s="15"/>
      <c r="D1335" s="15"/>
    </row>
    <row r="1336" spans="1:4" ht="14.1" customHeight="1">
      <c r="A1336" s="15"/>
      <c r="C1336" s="15"/>
      <c r="D1336" s="15"/>
    </row>
    <row r="1337" spans="1:4" ht="14.1" customHeight="1">
      <c r="A1337" s="15"/>
      <c r="C1337" s="15"/>
      <c r="D1337" s="15"/>
    </row>
    <row r="1338" spans="1:4" ht="14.1" customHeight="1">
      <c r="A1338" s="15"/>
      <c r="C1338" s="15"/>
      <c r="D1338" s="15"/>
    </row>
    <row r="1339" spans="1:4" ht="14.1" customHeight="1">
      <c r="A1339" s="15"/>
      <c r="C1339" s="15"/>
      <c r="D1339" s="15"/>
    </row>
    <row r="1340" spans="1:4" ht="14.1" customHeight="1">
      <c r="A1340" s="15"/>
      <c r="C1340" s="15"/>
      <c r="D1340" s="15"/>
    </row>
    <row r="1341" spans="1:4" ht="14.1" customHeight="1">
      <c r="A1341" s="15"/>
      <c r="C1341" s="15"/>
      <c r="D1341" s="15"/>
    </row>
    <row r="1342" spans="1:4" ht="14.1" customHeight="1">
      <c r="A1342" s="15"/>
      <c r="C1342" s="15"/>
      <c r="D1342" s="15"/>
    </row>
    <row r="1343" spans="1:4" ht="14.1" customHeight="1">
      <c r="A1343" s="15"/>
      <c r="C1343" s="15"/>
      <c r="D1343" s="15"/>
    </row>
    <row r="1344" spans="1:4" ht="14.1" customHeight="1">
      <c r="A1344" s="15"/>
      <c r="C1344" s="15"/>
      <c r="D1344" s="15"/>
    </row>
    <row r="1345" spans="1:4" ht="14.1" customHeight="1">
      <c r="A1345" s="15"/>
      <c r="C1345" s="15"/>
      <c r="D1345" s="15"/>
    </row>
    <row r="1346" spans="1:4" ht="14.1" customHeight="1">
      <c r="A1346" s="15"/>
      <c r="C1346" s="15"/>
      <c r="D1346" s="15"/>
    </row>
    <row r="1347" spans="1:4" ht="14.1" customHeight="1">
      <c r="A1347" s="15"/>
      <c r="C1347" s="15"/>
      <c r="D1347" s="15"/>
    </row>
    <row r="1348" spans="1:4" ht="14.1" customHeight="1">
      <c r="A1348" s="15"/>
      <c r="C1348" s="15"/>
      <c r="D1348" s="15"/>
    </row>
    <row r="1349" spans="1:4" ht="14.1" customHeight="1">
      <c r="A1349" s="15"/>
      <c r="C1349" s="15"/>
      <c r="D1349" s="15"/>
    </row>
    <row r="1350" spans="1:4" ht="14.1" customHeight="1">
      <c r="A1350" s="15"/>
      <c r="C1350" s="15"/>
      <c r="D1350" s="15"/>
    </row>
    <row r="1351" spans="1:4" ht="14.1" customHeight="1">
      <c r="A1351" s="15"/>
      <c r="C1351" s="15"/>
      <c r="D1351" s="15"/>
    </row>
    <row r="1352" spans="1:4" ht="14.1" customHeight="1">
      <c r="A1352" s="15"/>
      <c r="C1352" s="15"/>
      <c r="D1352" s="15"/>
    </row>
    <row r="1353" spans="1:4" ht="14.1" customHeight="1">
      <c r="A1353" s="15"/>
      <c r="C1353" s="15"/>
      <c r="D1353" s="15"/>
    </row>
    <row r="1354" spans="1:4" ht="14.1" customHeight="1">
      <c r="A1354" s="15"/>
      <c r="C1354" s="15"/>
      <c r="D1354" s="15"/>
    </row>
    <row r="1355" spans="1:4" ht="14.1" customHeight="1">
      <c r="A1355" s="15"/>
      <c r="C1355" s="15"/>
      <c r="D1355" s="15"/>
    </row>
    <row r="1356" spans="1:4" ht="14.1" customHeight="1">
      <c r="A1356" s="15"/>
      <c r="C1356" s="15"/>
      <c r="D1356" s="15"/>
    </row>
    <row r="1357" spans="1:4" ht="14.1" customHeight="1">
      <c r="A1357" s="15"/>
      <c r="C1357" s="15"/>
      <c r="D1357" s="15"/>
    </row>
    <row r="1358" spans="1:4" ht="14.1" customHeight="1">
      <c r="A1358" s="15"/>
      <c r="C1358" s="15"/>
      <c r="D1358" s="15"/>
    </row>
    <row r="1359" spans="1:4" ht="14.1" customHeight="1">
      <c r="A1359" s="15"/>
      <c r="C1359" s="15"/>
      <c r="D1359" s="15"/>
    </row>
    <row r="1360" spans="1:4" ht="14.1" customHeight="1">
      <c r="A1360" s="15"/>
      <c r="C1360" s="15"/>
      <c r="D1360" s="15"/>
    </row>
    <row r="1361" spans="1:4" ht="14.1" customHeight="1">
      <c r="A1361" s="15"/>
      <c r="C1361" s="15"/>
      <c r="D1361" s="15"/>
    </row>
    <row r="1362" spans="1:4" ht="14.1" customHeight="1">
      <c r="A1362" s="15"/>
      <c r="C1362" s="15"/>
      <c r="D1362" s="15"/>
    </row>
    <row r="1363" spans="1:4" ht="14.1" customHeight="1">
      <c r="A1363" s="15"/>
      <c r="C1363" s="15"/>
      <c r="D1363" s="15"/>
    </row>
    <row r="1364" spans="1:4" ht="14.1" customHeight="1">
      <c r="A1364" s="15"/>
      <c r="C1364" s="15"/>
      <c r="D1364" s="15"/>
    </row>
    <row r="1365" spans="1:4" ht="14.1" customHeight="1">
      <c r="A1365" s="15"/>
      <c r="C1365" s="15"/>
      <c r="D1365" s="15"/>
    </row>
    <row r="1366" spans="1:4" ht="14.1" customHeight="1">
      <c r="A1366" s="15"/>
      <c r="C1366" s="15"/>
      <c r="D1366" s="15"/>
    </row>
    <row r="1367" spans="1:4" ht="14.1" customHeight="1">
      <c r="A1367" s="15"/>
      <c r="C1367" s="15"/>
      <c r="D1367" s="15"/>
    </row>
    <row r="1368" spans="1:4" ht="14.1" customHeight="1">
      <c r="A1368" s="15"/>
      <c r="C1368" s="15"/>
      <c r="D1368" s="15"/>
    </row>
    <row r="1369" spans="1:4" ht="14.1" customHeight="1">
      <c r="A1369" s="15"/>
      <c r="C1369" s="15"/>
      <c r="D1369" s="15"/>
    </row>
    <row r="1370" spans="1:4" ht="14.1" customHeight="1">
      <c r="A1370" s="15"/>
      <c r="C1370" s="15"/>
      <c r="D1370" s="15"/>
    </row>
    <row r="1371" spans="1:4" ht="14.1" customHeight="1">
      <c r="A1371" s="15"/>
      <c r="C1371" s="15"/>
      <c r="D1371" s="15"/>
    </row>
    <row r="1372" spans="1:4" ht="14.1" customHeight="1">
      <c r="A1372" s="15"/>
      <c r="C1372" s="15"/>
      <c r="D1372" s="15"/>
    </row>
    <row r="1373" spans="1:4" ht="14.1" customHeight="1">
      <c r="A1373" s="15"/>
      <c r="C1373" s="15"/>
      <c r="D1373" s="15"/>
    </row>
    <row r="1374" spans="1:4" ht="14.1" customHeight="1">
      <c r="A1374" s="15"/>
      <c r="C1374" s="15"/>
      <c r="D1374" s="15"/>
    </row>
    <row r="1375" spans="1:4" ht="14.1" customHeight="1">
      <c r="A1375" s="15"/>
      <c r="C1375" s="15"/>
      <c r="D1375" s="15"/>
    </row>
    <row r="1376" spans="1:4" ht="14.1" customHeight="1">
      <c r="A1376" s="15"/>
      <c r="C1376" s="15"/>
      <c r="D1376" s="15"/>
    </row>
    <row r="1377" spans="1:4" ht="14.1" customHeight="1">
      <c r="A1377" s="15"/>
      <c r="C1377" s="15"/>
      <c r="D1377" s="15"/>
    </row>
    <row r="1378" spans="1:4" ht="14.1" customHeight="1">
      <c r="A1378" s="15"/>
      <c r="C1378" s="15"/>
      <c r="D1378" s="15"/>
    </row>
    <row r="1379" spans="1:4" ht="14.1" customHeight="1">
      <c r="A1379" s="15"/>
      <c r="C1379" s="15"/>
      <c r="D1379" s="15"/>
    </row>
    <row r="1380" spans="1:4" ht="14.1" customHeight="1">
      <c r="A1380" s="15"/>
      <c r="C1380" s="15"/>
      <c r="D1380" s="15"/>
    </row>
    <row r="1381" spans="1:4" ht="14.1" customHeight="1">
      <c r="A1381" s="15"/>
      <c r="C1381" s="15"/>
      <c r="D1381" s="15"/>
    </row>
    <row r="1382" spans="1:4" ht="14.1" customHeight="1">
      <c r="A1382" s="15"/>
      <c r="C1382" s="15"/>
      <c r="D1382" s="15"/>
    </row>
    <row r="1383" spans="1:4" ht="14.1" customHeight="1">
      <c r="A1383" s="15"/>
      <c r="C1383" s="15"/>
      <c r="D1383" s="15"/>
    </row>
    <row r="1384" spans="1:4" ht="14.1" customHeight="1">
      <c r="A1384" s="15"/>
      <c r="C1384" s="15"/>
      <c r="D1384" s="15"/>
    </row>
    <row r="1385" spans="1:4" ht="14.1" customHeight="1">
      <c r="A1385" s="15"/>
      <c r="C1385" s="15"/>
      <c r="D1385" s="15"/>
    </row>
    <row r="1386" spans="1:4" ht="14.1" customHeight="1">
      <c r="A1386" s="15"/>
      <c r="C1386" s="15"/>
      <c r="D1386" s="15"/>
    </row>
    <row r="1387" spans="1:4" ht="14.1" customHeight="1">
      <c r="A1387" s="15"/>
      <c r="C1387" s="15"/>
      <c r="D1387" s="15"/>
    </row>
    <row r="1388" spans="1:4" ht="14.1" customHeight="1">
      <c r="A1388" s="15"/>
      <c r="C1388" s="15"/>
      <c r="D1388" s="15"/>
    </row>
    <row r="1389" spans="1:4" ht="14.1" customHeight="1">
      <c r="A1389" s="15"/>
      <c r="C1389" s="15"/>
      <c r="D1389" s="15"/>
    </row>
    <row r="1390" spans="1:4" ht="14.1" customHeight="1">
      <c r="A1390" s="15"/>
      <c r="C1390" s="15"/>
      <c r="D1390" s="15"/>
    </row>
    <row r="1391" spans="1:4" ht="14.1" customHeight="1">
      <c r="A1391" s="15"/>
      <c r="C1391" s="15"/>
      <c r="D1391" s="15"/>
    </row>
    <row r="1392" spans="1:4" ht="14.1" customHeight="1">
      <c r="A1392" s="15"/>
      <c r="C1392" s="15"/>
      <c r="D1392" s="15"/>
    </row>
    <row r="1393" spans="1:4" ht="14.1" customHeight="1">
      <c r="A1393" s="15"/>
      <c r="C1393" s="15"/>
      <c r="D1393" s="15"/>
    </row>
    <row r="1394" spans="1:4" ht="14.1" customHeight="1">
      <c r="A1394" s="15"/>
      <c r="C1394" s="15"/>
      <c r="D1394" s="15"/>
    </row>
    <row r="1395" spans="1:4" ht="14.1" customHeight="1">
      <c r="A1395" s="15"/>
      <c r="C1395" s="15"/>
      <c r="D1395" s="15"/>
    </row>
    <row r="1396" spans="1:4" ht="14.1" customHeight="1">
      <c r="A1396" s="15"/>
      <c r="C1396" s="15"/>
      <c r="D1396" s="15"/>
    </row>
    <row r="1397" spans="1:4" ht="14.1" customHeight="1">
      <c r="A1397" s="15"/>
      <c r="C1397" s="15"/>
      <c r="D1397" s="15"/>
    </row>
    <row r="1398" spans="1:4" ht="14.1" customHeight="1">
      <c r="A1398" s="15"/>
      <c r="C1398" s="15"/>
      <c r="D1398" s="15"/>
    </row>
    <row r="1399" spans="1:4" ht="14.1" customHeight="1">
      <c r="A1399" s="15"/>
      <c r="C1399" s="15"/>
      <c r="D1399" s="15"/>
    </row>
    <row r="1400" spans="1:4" ht="14.1" customHeight="1">
      <c r="A1400" s="15"/>
      <c r="C1400" s="15"/>
      <c r="D1400" s="15"/>
    </row>
    <row r="1401" spans="1:4" ht="14.1" customHeight="1">
      <c r="A1401" s="15"/>
      <c r="C1401" s="15"/>
      <c r="D1401" s="15"/>
    </row>
    <row r="1402" spans="1:4" ht="14.1" customHeight="1">
      <c r="A1402" s="15"/>
      <c r="C1402" s="15"/>
      <c r="D1402" s="15"/>
    </row>
    <row r="1403" spans="1:4" ht="14.1" customHeight="1">
      <c r="A1403" s="15"/>
      <c r="C1403" s="15"/>
      <c r="D1403" s="15"/>
    </row>
    <row r="1404" spans="1:4" ht="14.1" customHeight="1">
      <c r="A1404" s="15"/>
      <c r="C1404" s="15"/>
      <c r="D1404" s="15"/>
    </row>
    <row r="1405" spans="1:4" ht="14.1" customHeight="1">
      <c r="A1405" s="15"/>
      <c r="C1405" s="15"/>
      <c r="D1405" s="15"/>
    </row>
    <row r="1406" spans="1:4" ht="14.1" customHeight="1">
      <c r="A1406" s="15"/>
      <c r="C1406" s="15"/>
      <c r="D1406" s="15"/>
    </row>
    <row r="1407" spans="1:4" ht="14.1" customHeight="1">
      <c r="A1407" s="15"/>
      <c r="C1407" s="15"/>
      <c r="D1407" s="15"/>
    </row>
    <row r="1408" spans="1:4" ht="14.1" customHeight="1">
      <c r="A1408" s="15"/>
      <c r="C1408" s="15"/>
      <c r="D1408" s="15"/>
    </row>
    <row r="1409" spans="1:4" ht="14.1" customHeight="1">
      <c r="A1409" s="15"/>
      <c r="C1409" s="15"/>
      <c r="D1409" s="15"/>
    </row>
    <row r="1410" spans="1:4" ht="14.1" customHeight="1">
      <c r="A1410" s="15"/>
      <c r="C1410" s="15"/>
      <c r="D1410" s="15"/>
    </row>
    <row r="1411" spans="1:4" ht="14.1" customHeight="1">
      <c r="A1411" s="15"/>
      <c r="C1411" s="15"/>
      <c r="D1411" s="15"/>
    </row>
    <row r="1412" spans="1:4" ht="14.1" customHeight="1">
      <c r="A1412" s="15"/>
      <c r="C1412" s="15"/>
      <c r="D1412" s="15"/>
    </row>
    <row r="1413" spans="1:4" ht="14.1" customHeight="1">
      <c r="A1413" s="15"/>
      <c r="C1413" s="15"/>
      <c r="D1413" s="15"/>
    </row>
    <row r="1414" spans="1:4" ht="14.1" customHeight="1">
      <c r="A1414" s="15"/>
      <c r="C1414" s="15"/>
      <c r="D1414" s="15"/>
    </row>
    <row r="1415" spans="1:4" ht="14.1" customHeight="1">
      <c r="A1415" s="15"/>
      <c r="C1415" s="15"/>
      <c r="D1415" s="15"/>
    </row>
    <row r="1416" spans="1:4" ht="14.1" customHeight="1">
      <c r="A1416" s="15"/>
      <c r="C1416" s="15"/>
      <c r="D1416" s="15"/>
    </row>
    <row r="1417" spans="1:4" ht="14.1" customHeight="1">
      <c r="A1417" s="15"/>
      <c r="C1417" s="15"/>
      <c r="D1417" s="15"/>
    </row>
    <row r="1418" spans="1:4" ht="14.1" customHeight="1">
      <c r="A1418" s="15"/>
      <c r="C1418" s="15"/>
      <c r="D1418" s="15"/>
    </row>
    <row r="1419" spans="1:4" ht="14.1" customHeight="1">
      <c r="A1419" s="15"/>
      <c r="C1419" s="15"/>
      <c r="D1419" s="15"/>
    </row>
    <row r="1420" spans="1:4" ht="14.1" customHeight="1">
      <c r="A1420" s="15"/>
      <c r="C1420" s="15"/>
      <c r="D1420" s="15"/>
    </row>
    <row r="1421" spans="1:4" ht="14.1" customHeight="1">
      <c r="A1421" s="15"/>
      <c r="C1421" s="15"/>
      <c r="D1421" s="15"/>
    </row>
    <row r="1422" spans="1:4" ht="14.1" customHeight="1">
      <c r="A1422" s="15"/>
      <c r="C1422" s="15"/>
      <c r="D1422" s="15"/>
    </row>
    <row r="1423" spans="1:4" ht="14.1" customHeight="1">
      <c r="A1423" s="15"/>
      <c r="C1423" s="15"/>
      <c r="D1423" s="15"/>
    </row>
    <row r="1424" spans="1:4" ht="14.1" customHeight="1">
      <c r="A1424" s="15"/>
      <c r="C1424" s="15"/>
      <c r="D1424" s="15"/>
    </row>
    <row r="1425" spans="1:4" ht="14.1" customHeight="1">
      <c r="A1425" s="15"/>
      <c r="C1425" s="15"/>
      <c r="D1425" s="15"/>
    </row>
    <row r="1426" spans="1:4" ht="14.1" customHeight="1">
      <c r="A1426" s="15"/>
      <c r="C1426" s="15"/>
      <c r="D1426" s="15"/>
    </row>
    <row r="1427" spans="1:4" ht="14.1" customHeight="1">
      <c r="A1427" s="15"/>
      <c r="C1427" s="15"/>
      <c r="D1427" s="15"/>
    </row>
    <row r="1428" spans="1:4" ht="14.1" customHeight="1">
      <c r="A1428" s="15"/>
      <c r="C1428" s="15"/>
      <c r="D1428" s="15"/>
    </row>
    <row r="1429" spans="1:4" ht="14.1" customHeight="1">
      <c r="A1429" s="15"/>
      <c r="C1429" s="15"/>
      <c r="D1429" s="15"/>
    </row>
  </sheetData>
  <sheetProtection algorithmName="SHA-512" hashValue="KFEbYcfADQbNCKUeDZWPMDObCY+wFym5Qysq3r1luSQnZdd6Ii0GZkPJQwxL6wBr283EtlihY94FT5imHuLZVA==" saltValue="4fG5rnDxIVfGhyIq8DdUxA==" spinCount="100000" sheet="1" objects="1" scenarios="1" insertHyperlinks="0" selectLockedCells="1" pivotTables="0"/>
  <customSheetViews>
    <customSheetView guid="{3A20BFFC-9D9E-415D-AC5D-1CC81DA9B04C}">
      <pane ySplit="1" topLeftCell="A2" activePane="bottomLeft" state="frozen"/>
      <selection pane="bottomLeft" activeCell="A2" sqref="A2"/>
      <pageMargins left="0.75" right="0.75" top="1" bottom="1" header="0.5" footer="0.5"/>
      <pageSetup orientation="portrait" r:id="rId1"/>
      <headerFooter alignWithMargins="0"/>
    </customSheetView>
  </customSheetViews>
  <mergeCells count="2">
    <mergeCell ref="J118:K118"/>
    <mergeCell ref="L118:M118"/>
  </mergeCells>
  <phoneticPr fontId="0" type="noConversion"/>
  <hyperlinks>
    <hyperlink ref="F1" location="'Terms of Use'!A1" display="(C) 2017" xr:uid="{00000000-0004-0000-0C00-000000000000}"/>
    <hyperlink ref="I114" r:id="rId2" xr:uid="{00000000-0004-0000-0C00-000001000000}"/>
    <hyperlink ref="K112" r:id="rId3" xr:uid="{00000000-0004-0000-0C00-000002000000}"/>
    <hyperlink ref="J111" r:id="rId4" xr:uid="{00000000-0004-0000-0C00-000003000000}"/>
    <hyperlink ref="K115" r:id="rId5" xr:uid="{00000000-0004-0000-0C00-000004000000}"/>
  </hyperlinks>
  <pageMargins left="0.75" right="0.75" top="1" bottom="1" header="0.5" footer="0.5"/>
  <pageSetup orientation="portrait" r:id="rId6"/>
  <headerFooter alignWithMargins="0"/>
  <drawing r:id="rId7"/>
  <legacyDrawing r:id="rId8"/>
  <mc:AlternateContent xmlns:mc="http://schemas.openxmlformats.org/markup-compatibility/2006">
    <mc:Choice Requires="x14">
      <controls>
        <mc:AlternateContent xmlns:mc="http://schemas.openxmlformats.org/markup-compatibility/2006">
          <mc:Choice Requires="x14">
            <control shapeId="15361" r:id="rId9" name="Button 1">
              <controlPr defaultSize="0" print="0" autoFill="0" autoPict="0" macro="[0]!Go_to_TopOfSlabsInput">
                <anchor moveWithCells="1">
                  <from>
                    <xdr:col>3</xdr:col>
                    <xdr:colOff>0</xdr:colOff>
                    <xdr:row>77</xdr:row>
                    <xdr:rowOff>161925</xdr:rowOff>
                  </from>
                  <to>
                    <xdr:col>4</xdr:col>
                    <xdr:colOff>790575</xdr:colOff>
                    <xdr:row>78</xdr:row>
                    <xdr:rowOff>276225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BelowGradeWalls">
    <tabColor theme="0"/>
  </sheetPr>
  <dimension ref="A1:Y218"/>
  <sheetViews>
    <sheetView zoomScaleNormal="100" workbookViewId="0">
      <pane ySplit="3" topLeftCell="A4" activePane="bottomLeft" state="frozen"/>
      <selection activeCell="D18" sqref="D18"/>
      <selection pane="bottomLeft" activeCell="B120" sqref="B120"/>
    </sheetView>
  </sheetViews>
  <sheetFormatPr defaultColWidth="8.7109375" defaultRowHeight="14.1" customHeight="1"/>
  <cols>
    <col min="1" max="1" width="8.7109375" style="25" customWidth="1"/>
    <col min="2" max="2" width="11.42578125" style="25" customWidth="1"/>
    <col min="3" max="3" width="56.28515625" style="26" customWidth="1"/>
    <col min="4" max="4" width="11.85546875" style="27" customWidth="1"/>
    <col min="5" max="5" width="10.42578125" style="27" customWidth="1"/>
    <col min="6" max="6" width="21.5703125" style="28" customWidth="1"/>
    <col min="7" max="7" width="15" style="26" customWidth="1"/>
    <col min="8" max="8" width="8.7109375" style="26"/>
    <col min="9" max="9" width="17.7109375" style="26" customWidth="1"/>
    <col min="10" max="11" width="8.7109375" style="26"/>
    <col min="12" max="12" width="17.85546875" style="26" customWidth="1"/>
    <col min="13" max="16384" width="8.7109375" style="26"/>
  </cols>
  <sheetData>
    <row r="1" spans="1:25" ht="19.5" customHeight="1">
      <c r="A1" s="484" t="s">
        <v>2459</v>
      </c>
      <c r="B1" s="484"/>
      <c r="C1" s="485"/>
      <c r="D1" s="548"/>
      <c r="E1" s="482"/>
      <c r="F1" s="482"/>
      <c r="G1" s="483" t="s">
        <v>2393</v>
      </c>
      <c r="H1" s="485"/>
      <c r="I1" s="485"/>
      <c r="J1" s="485"/>
      <c r="K1" s="485"/>
      <c r="L1" s="485"/>
      <c r="M1" s="485"/>
      <c r="N1" s="485"/>
      <c r="O1" s="485"/>
      <c r="P1" s="485"/>
      <c r="Q1" s="485"/>
      <c r="R1" s="485"/>
      <c r="S1" s="485"/>
      <c r="T1" s="485"/>
      <c r="U1" s="485"/>
      <c r="V1" s="485"/>
      <c r="W1" s="485"/>
      <c r="X1" s="485"/>
      <c r="Y1" s="485"/>
    </row>
    <row r="2" spans="1:25" ht="18" customHeight="1">
      <c r="A2" s="549" t="s">
        <v>2591</v>
      </c>
      <c r="B2" s="549"/>
      <c r="C2" s="550"/>
      <c r="D2" s="551"/>
      <c r="E2" s="552"/>
      <c r="F2" s="552"/>
      <c r="G2" s="550"/>
      <c r="H2" s="550"/>
      <c r="I2" s="550"/>
      <c r="J2" s="550"/>
      <c r="K2" s="553"/>
      <c r="L2" s="550"/>
      <c r="M2" s="550"/>
      <c r="N2" s="550"/>
      <c r="O2" s="550"/>
      <c r="P2" s="550"/>
      <c r="Q2" s="550"/>
      <c r="R2" s="550"/>
      <c r="S2" s="550"/>
      <c r="T2" s="550"/>
      <c r="U2" s="550"/>
      <c r="V2" s="550"/>
      <c r="W2" s="550"/>
      <c r="X2" s="550"/>
      <c r="Y2" s="550"/>
    </row>
    <row r="3" spans="1:25" ht="14.1" customHeight="1">
      <c r="A3" s="524" t="s">
        <v>1400</v>
      </c>
      <c r="B3" s="524"/>
      <c r="C3" s="425" t="s">
        <v>1401</v>
      </c>
      <c r="D3" s="439" t="s">
        <v>1402</v>
      </c>
      <c r="E3" s="439" t="s">
        <v>606</v>
      </c>
      <c r="F3" s="439" t="s">
        <v>90</v>
      </c>
    </row>
    <row r="4" spans="1:25" ht="14.1" customHeight="1">
      <c r="A4" s="25">
        <v>1</v>
      </c>
      <c r="C4" s="1074">
        <v>1</v>
      </c>
      <c r="D4" s="1074">
        <v>2</v>
      </c>
      <c r="E4" s="1074">
        <v>3</v>
      </c>
      <c r="F4" s="1074">
        <v>4</v>
      </c>
    </row>
    <row r="5" spans="1:25" ht="14.1" customHeight="1">
      <c r="A5" s="25">
        <f>A4+1</f>
        <v>2</v>
      </c>
      <c r="C5" s="101" t="s">
        <v>2063</v>
      </c>
      <c r="D5" s="555"/>
      <c r="E5" s="556"/>
      <c r="F5" s="556"/>
    </row>
    <row r="6" spans="1:25" ht="14.1" customHeight="1">
      <c r="A6" s="25">
        <f t="shared" ref="A6:A127" si="0">A5+1</f>
        <v>3</v>
      </c>
      <c r="B6" s="874" t="s">
        <v>2937</v>
      </c>
      <c r="C6" s="26" t="str">
        <f>'Below Grade Walls &amp; Slabs'!F159</f>
        <v>R0  Uninsulated, 2' depth</v>
      </c>
      <c r="D6" s="26" t="str">
        <f>'Below Grade Walls &amp; Slabs'!D159</f>
        <v>10-1</v>
      </c>
      <c r="E6" s="556">
        <f t="shared" ref="E6:F8" si="1">VLOOKUP($C6,$C$28:$F$118,E$4,FALSE)</f>
        <v>0.33100000000000002</v>
      </c>
      <c r="F6" s="556">
        <f t="shared" si="1"/>
        <v>0.57999999999999996</v>
      </c>
      <c r="G6" s="556" t="str">
        <f>'Below Grade Walls &amp; Slabs'!E159</f>
        <v>Updated to WSEC 2018</v>
      </c>
    </row>
    <row r="7" spans="1:25" ht="14.1" customHeight="1">
      <c r="A7" s="25">
        <f t="shared" si="0"/>
        <v>4</v>
      </c>
      <c r="B7" s="874" t="s">
        <v>2937</v>
      </c>
      <c r="C7" s="26" t="str">
        <f>'Below Grade Walls &amp; Slabs'!F160</f>
        <v>R10 Foam Ext, 2' depth</v>
      </c>
      <c r="D7" s="26" t="str">
        <f>'Below Grade Walls &amp; Slabs'!D160</f>
        <v>10-1</v>
      </c>
      <c r="E7" s="556">
        <f t="shared" si="1"/>
        <v>8.8999999999999996E-2</v>
      </c>
      <c r="F7" s="556">
        <f t="shared" si="1"/>
        <v>0.56000000000000005</v>
      </c>
      <c r="G7" s="556" t="str">
        <f>'Below Grade Walls &amp; Slabs'!E160</f>
        <v>Updated to WSEC 2018</v>
      </c>
    </row>
    <row r="8" spans="1:25" ht="14.1" customHeight="1">
      <c r="A8" s="25">
        <f t="shared" si="0"/>
        <v>5</v>
      </c>
      <c r="B8" s="874" t="s">
        <v>2937</v>
      </c>
      <c r="C8" s="875" t="str">
        <f>'Below Grade Walls &amp; Slabs'!F161</f>
        <v>R11 Batt, 2' depth</v>
      </c>
      <c r="D8" s="875" t="str">
        <f>'Below Grade Walls &amp; Slabs'!D161</f>
        <v>10-1</v>
      </c>
      <c r="E8" s="556">
        <f t="shared" si="1"/>
        <v>6.3E-2</v>
      </c>
      <c r="F8" s="556">
        <f t="shared" si="1"/>
        <v>0.67</v>
      </c>
      <c r="G8" s="556" t="str">
        <f>'Below Grade Walls &amp; Slabs'!E161</f>
        <v>Updated to WSEC 2018</v>
      </c>
    </row>
    <row r="9" spans="1:25" ht="14.1" customHeight="1">
      <c r="A9" s="25">
        <f t="shared" si="0"/>
        <v>6</v>
      </c>
      <c r="B9" s="874" t="s">
        <v>2937</v>
      </c>
      <c r="C9" s="875" t="str">
        <f>'Below Grade Walls &amp; Slabs'!F162</f>
        <v>R12 Foam Ext, 2' depth</v>
      </c>
      <c r="D9" s="875" t="str">
        <f>'Below Grade Walls &amp; Slabs'!D162</f>
        <v>10-1</v>
      </c>
      <c r="E9" s="556">
        <f t="shared" ref="E9:F26" si="2">VLOOKUP($C9,$C$28:$F$118,E$4,FALSE)</f>
        <v>0.61</v>
      </c>
      <c r="F9" s="556">
        <f t="shared" si="2"/>
        <v>0.6</v>
      </c>
      <c r="G9" s="556" t="str">
        <f>'Below Grade Walls &amp; Slabs'!E162</f>
        <v>Updated to WSEC 2018</v>
      </c>
    </row>
    <row r="10" spans="1:25" ht="14.1" customHeight="1">
      <c r="A10" s="25">
        <f t="shared" si="0"/>
        <v>7</v>
      </c>
      <c r="B10" s="874" t="s">
        <v>2937</v>
      </c>
      <c r="C10" s="875" t="str">
        <f>'Below Grade Walls &amp; Slabs'!F163</f>
        <v>R10 Foam Ext w/TB, R10 Full Underslab, 2' depth</v>
      </c>
      <c r="D10" s="875" t="str">
        <f>'Below Grade Walls &amp; Slabs'!D163</f>
        <v>Baylon &amp; Kennedy, https://web.ornl.gov/sci/buildings/conf-archive/2007%20B10%20papers/092_Baylon.pdf</v>
      </c>
      <c r="E10" s="556">
        <f t="shared" si="2"/>
        <v>6.8000000000000005E-2</v>
      </c>
      <c r="F10" s="556">
        <f t="shared" si="2"/>
        <v>0.34499999999999997</v>
      </c>
      <c r="G10" s="556" t="str">
        <f>'Below Grade Walls &amp; Slabs'!E163</f>
        <v>Added 2020</v>
      </c>
    </row>
    <row r="11" spans="1:25" ht="14.1" customHeight="1">
      <c r="A11" s="25">
        <f t="shared" si="0"/>
        <v>8</v>
      </c>
      <c r="B11" s="874" t="s">
        <v>2937</v>
      </c>
      <c r="C11" s="875" t="str">
        <f>'Below Grade Walls &amp; Slabs'!F164</f>
        <v>R20 Foam Ext w/TB, R10 Full Underslab, 2' depth</v>
      </c>
      <c r="D11" s="875" t="str">
        <f>'Below Grade Walls &amp; Slabs'!D164</f>
        <v>Baylon &amp; Kennedy, https://web.ornl.gov/sci/buildings/conf-archive/2007%20B10%20papers/092_Baylon.pdf</v>
      </c>
      <c r="E11" s="556">
        <f t="shared" si="2"/>
        <v>0.04</v>
      </c>
      <c r="F11" s="556">
        <f t="shared" si="2"/>
        <v>0.35</v>
      </c>
      <c r="G11" s="556" t="str">
        <f>'Below Grade Walls &amp; Slabs'!E164</f>
        <v>Added 2020 from reference</v>
      </c>
    </row>
    <row r="12" spans="1:25" ht="14.1" customHeight="1">
      <c r="A12" s="25">
        <f t="shared" si="0"/>
        <v>9</v>
      </c>
      <c r="B12" s="874" t="s">
        <v>2937</v>
      </c>
      <c r="C12" s="875" t="str">
        <f>'Below Grade Walls &amp; Slabs'!F165</f>
        <v>R21 Batt w/TB, 2' depth</v>
      </c>
      <c r="D12" s="875" t="str">
        <f>'Below Grade Walls &amp; Slabs'!D165</f>
        <v>WSU</v>
      </c>
      <c r="E12" s="556">
        <f t="shared" si="2"/>
        <v>4.2000000000000003E-2</v>
      </c>
      <c r="F12" s="556">
        <f t="shared" si="2"/>
        <v>0.59</v>
      </c>
      <c r="G12" s="556" t="str">
        <f>'Below Grade Walls &amp; Slabs'!E165</f>
        <v>Updated to WSEC 2018</v>
      </c>
    </row>
    <row r="13" spans="1:25" ht="14.1" customHeight="1">
      <c r="A13" s="25">
        <f t="shared" si="0"/>
        <v>10</v>
      </c>
      <c r="B13" s="870" t="s">
        <v>2938</v>
      </c>
      <c r="C13" s="26" t="str">
        <f>'Below Grade Walls &amp; Slabs'!I159</f>
        <v>R0  Uninsulated, 3.5' depth</v>
      </c>
      <c r="D13" s="26" t="str">
        <f>'Below Grade Walls &amp; Slabs'!D159</f>
        <v>10-1</v>
      </c>
      <c r="E13" s="556">
        <f t="shared" si="2"/>
        <v>0.27100000000000002</v>
      </c>
      <c r="F13" s="556">
        <f t="shared" si="2"/>
        <v>0.51</v>
      </c>
      <c r="G13" s="556" t="str">
        <f>G6</f>
        <v>Updated to WSEC 2018</v>
      </c>
    </row>
    <row r="14" spans="1:25" ht="14.1" customHeight="1">
      <c r="A14" s="25">
        <f t="shared" si="0"/>
        <v>11</v>
      </c>
      <c r="B14" s="870" t="s">
        <v>2938</v>
      </c>
      <c r="C14" s="26" t="str">
        <f>'Below Grade Walls &amp; Slabs'!I160</f>
        <v>R10 Foam Ext, 3.5' depth</v>
      </c>
      <c r="D14" s="26" t="str">
        <f>'Below Grade Walls &amp; Slabs'!D160</f>
        <v>10-1</v>
      </c>
      <c r="E14" s="556">
        <f t="shared" si="2"/>
        <v>7.4999999999999997E-2</v>
      </c>
      <c r="F14" s="556">
        <f t="shared" si="2"/>
        <v>0.52</v>
      </c>
      <c r="G14" s="556" t="str">
        <f t="shared" ref="G14:G19" si="3">G7</f>
        <v>Updated to WSEC 2018</v>
      </c>
    </row>
    <row r="15" spans="1:25" ht="14.1" customHeight="1">
      <c r="A15" s="25">
        <f t="shared" si="0"/>
        <v>12</v>
      </c>
      <c r="B15" s="870" t="s">
        <v>2938</v>
      </c>
      <c r="C15" s="26" t="str">
        <f>'Below Grade Walls &amp; Slabs'!I161</f>
        <v>R11 Batt, 3.5' depth</v>
      </c>
      <c r="D15" s="26" t="str">
        <f>'Below Grade Walls &amp; Slabs'!D161</f>
        <v>10-1</v>
      </c>
      <c r="E15" s="556">
        <f t="shared" si="2"/>
        <v>5.8000000000000003E-2</v>
      </c>
      <c r="F15" s="556">
        <f t="shared" si="2"/>
        <v>0.61</v>
      </c>
      <c r="G15" s="556" t="str">
        <f t="shared" si="3"/>
        <v>Updated to WSEC 2018</v>
      </c>
    </row>
    <row r="16" spans="1:25" ht="14.1" customHeight="1">
      <c r="A16" s="25">
        <f t="shared" si="0"/>
        <v>13</v>
      </c>
      <c r="B16" s="870" t="s">
        <v>2938</v>
      </c>
      <c r="C16" s="26" t="str">
        <f>'Below Grade Walls &amp; Slabs'!I162</f>
        <v>R12 Foam Ext, 3.5' depth</v>
      </c>
      <c r="D16" s="26" t="str">
        <f>'Below Grade Walls &amp; Slabs'!D162</f>
        <v>10-1</v>
      </c>
      <c r="E16" s="556">
        <f t="shared" si="2"/>
        <v>5.7000000000000002E-2</v>
      </c>
      <c r="F16" s="556">
        <f t="shared" si="2"/>
        <v>0.56999999999999995</v>
      </c>
      <c r="G16" s="556" t="str">
        <f t="shared" si="3"/>
        <v>Updated to WSEC 2018</v>
      </c>
    </row>
    <row r="17" spans="1:8" ht="14.1" customHeight="1">
      <c r="A17" s="25">
        <f t="shared" si="0"/>
        <v>14</v>
      </c>
      <c r="B17" s="870" t="s">
        <v>2938</v>
      </c>
      <c r="C17" s="26" t="str">
        <f>'Below Grade Walls &amp; Slabs'!I163</f>
        <v>R10 Foam Ext w/TB, R10 Full Underslab, 3.5' depth</v>
      </c>
      <c r="D17" s="26" t="str">
        <f>'Below Grade Walls &amp; Slabs'!D163</f>
        <v>Baylon &amp; Kennedy, https://web.ornl.gov/sci/buildings/conf-archive/2007%20B10%20papers/092_Baylon.pdf</v>
      </c>
      <c r="E17" s="556">
        <f t="shared" si="2"/>
        <v>6.4000000000000001E-2</v>
      </c>
      <c r="F17" s="556">
        <f t="shared" si="2"/>
        <v>0.32400000000000001</v>
      </c>
      <c r="G17" s="556" t="str">
        <f t="shared" si="3"/>
        <v>Added 2020</v>
      </c>
    </row>
    <row r="18" spans="1:8" ht="14.1" customHeight="1">
      <c r="A18" s="25">
        <f t="shared" si="0"/>
        <v>15</v>
      </c>
      <c r="B18" s="870" t="s">
        <v>2938</v>
      </c>
      <c r="C18" s="26" t="str">
        <f>'Below Grade Walls &amp; Slabs'!I164</f>
        <v>R20 Foam Ext w/TB, R10 Full Underslab, 3.5' depth</v>
      </c>
      <c r="D18" s="26" t="str">
        <f>'Below Grade Walls &amp; Slabs'!D164</f>
        <v>Baylon &amp; Kennedy, https://web.ornl.gov/sci/buildings/conf-archive/2007%20B10%20papers/092_Baylon.pdf</v>
      </c>
      <c r="E18" s="556">
        <f t="shared" si="2"/>
        <v>3.7999999999999999E-2</v>
      </c>
      <c r="F18" s="556">
        <f t="shared" si="2"/>
        <v>0.33100000000000002</v>
      </c>
      <c r="G18" s="556" t="str">
        <f t="shared" si="3"/>
        <v>Added 2020 from reference</v>
      </c>
    </row>
    <row r="19" spans="1:8" ht="14.1" customHeight="1">
      <c r="A19" s="25">
        <f t="shared" si="0"/>
        <v>16</v>
      </c>
      <c r="B19" s="870" t="s">
        <v>2938</v>
      </c>
      <c r="C19" s="26" t="str">
        <f>'Below Grade Walls &amp; Slabs'!I165</f>
        <v>R21 Batt w/TB, 3.5' depth</v>
      </c>
      <c r="D19" s="26" t="str">
        <f>'Below Grade Walls &amp; Slabs'!D165</f>
        <v>WSU</v>
      </c>
      <c r="E19" s="556">
        <f t="shared" si="2"/>
        <v>0.04</v>
      </c>
      <c r="F19" s="556">
        <f t="shared" si="2"/>
        <v>0.56000000000000005</v>
      </c>
      <c r="G19" s="556" t="str">
        <f t="shared" si="3"/>
        <v>Updated to WSEC 2018</v>
      </c>
    </row>
    <row r="20" spans="1:8" ht="14.1" customHeight="1">
      <c r="A20" s="25">
        <f t="shared" si="0"/>
        <v>17</v>
      </c>
      <c r="B20" s="874" t="s">
        <v>2939</v>
      </c>
      <c r="C20" s="875" t="str">
        <f>'Below Grade Walls &amp; Slabs'!L159</f>
        <v>R0  Uninsulated, 7' depth</v>
      </c>
      <c r="D20" s="875" t="str">
        <f>'Below Grade Walls &amp; Slabs'!D159</f>
        <v>10-1</v>
      </c>
      <c r="E20" s="556">
        <f t="shared" si="2"/>
        <v>0.185</v>
      </c>
      <c r="F20" s="556">
        <f t="shared" si="2"/>
        <v>0.43</v>
      </c>
      <c r="G20" s="877" t="str">
        <f>G6</f>
        <v>Updated to WSEC 2018</v>
      </c>
      <c r="H20" s="875"/>
    </row>
    <row r="21" spans="1:8" ht="14.1" customHeight="1">
      <c r="A21" s="25">
        <f t="shared" si="0"/>
        <v>18</v>
      </c>
      <c r="B21" s="874" t="s">
        <v>2939</v>
      </c>
      <c r="C21" s="875" t="str">
        <f>'Below Grade Walls &amp; Slabs'!L160</f>
        <v>R10 Foam Ext, 7' depth</v>
      </c>
      <c r="D21" s="875" t="str">
        <f>'Below Grade Walls &amp; Slabs'!D160</f>
        <v>10-1</v>
      </c>
      <c r="E21" s="556">
        <f t="shared" si="2"/>
        <v>5.8000000000000003E-2</v>
      </c>
      <c r="F21" s="556">
        <f t="shared" si="2"/>
        <v>0.47</v>
      </c>
      <c r="G21" s="877" t="str">
        <f t="shared" ref="G21:G26" si="4">G7</f>
        <v>Updated to WSEC 2018</v>
      </c>
      <c r="H21" s="875"/>
    </row>
    <row r="22" spans="1:8" ht="14.1" customHeight="1">
      <c r="A22" s="25">
        <f t="shared" si="0"/>
        <v>19</v>
      </c>
      <c r="B22" s="874" t="s">
        <v>2939</v>
      </c>
      <c r="C22" s="875" t="str">
        <f>'Below Grade Walls &amp; Slabs'!L161</f>
        <v>R11 Batt, 7' depth</v>
      </c>
      <c r="D22" s="875" t="str">
        <f>'Below Grade Walls &amp; Slabs'!D161</f>
        <v>10-1</v>
      </c>
      <c r="E22" s="556">
        <f t="shared" si="2"/>
        <v>5.0999999999999997E-2</v>
      </c>
      <c r="F22" s="556">
        <f t="shared" si="2"/>
        <v>0.54100000000000004</v>
      </c>
      <c r="G22" s="877" t="str">
        <f t="shared" si="4"/>
        <v>Updated to WSEC 2018</v>
      </c>
      <c r="H22" s="875"/>
    </row>
    <row r="23" spans="1:8" ht="14.1" customHeight="1">
      <c r="A23" s="25">
        <f t="shared" si="0"/>
        <v>20</v>
      </c>
      <c r="B23" s="874" t="s">
        <v>2939</v>
      </c>
      <c r="C23" s="875" t="str">
        <f>'Below Grade Walls &amp; Slabs'!L162</f>
        <v>R12 Foam Ext, 7' depth</v>
      </c>
      <c r="D23" s="875" t="str">
        <f>'Below Grade Walls &amp; Slabs'!D162</f>
        <v>10-1</v>
      </c>
      <c r="E23" s="556">
        <f t="shared" si="2"/>
        <v>0.05</v>
      </c>
      <c r="F23" s="556">
        <f t="shared" si="2"/>
        <v>0.42</v>
      </c>
      <c r="G23" s="877" t="str">
        <f t="shared" si="4"/>
        <v>Updated to WSEC 2018</v>
      </c>
      <c r="H23" s="875"/>
    </row>
    <row r="24" spans="1:8" ht="14.1" customHeight="1">
      <c r="A24" s="25">
        <f t="shared" si="0"/>
        <v>21</v>
      </c>
      <c r="B24" s="874" t="s">
        <v>2939</v>
      </c>
      <c r="C24" s="875" t="str">
        <f>'Below Grade Walls &amp; Slabs'!L163</f>
        <v>R10 Foam Ext w/TB, R10 Full Underslab, 7' depth</v>
      </c>
      <c r="D24" s="875" t="str">
        <f>'Below Grade Walls &amp; Slabs'!D163</f>
        <v>Baylon &amp; Kennedy, https://web.ornl.gov/sci/buildings/conf-archive/2007%20B10%20papers/092_Baylon.pdf</v>
      </c>
      <c r="E24" s="556">
        <f t="shared" si="2"/>
        <v>5.5E-2</v>
      </c>
      <c r="F24" s="556">
        <f t="shared" si="2"/>
        <v>0.29299999999999998</v>
      </c>
      <c r="G24" s="877" t="str">
        <f t="shared" si="4"/>
        <v>Added 2020</v>
      </c>
      <c r="H24" s="875"/>
    </row>
    <row r="25" spans="1:8" ht="14.1" customHeight="1">
      <c r="A25" s="25">
        <f t="shared" si="0"/>
        <v>22</v>
      </c>
      <c r="B25" s="874" t="s">
        <v>2939</v>
      </c>
      <c r="C25" s="875" t="str">
        <f>'Below Grade Walls &amp; Slabs'!L164</f>
        <v>R20 Foam Ext w/TB, R10 Full Underslab, 7' depth</v>
      </c>
      <c r="D25" s="875" t="str">
        <f>'Below Grade Walls &amp; Slabs'!D164</f>
        <v>Baylon &amp; Kennedy, https://web.ornl.gov/sci/buildings/conf-archive/2007%20B10%20papers/092_Baylon.pdf</v>
      </c>
      <c r="E25" s="556">
        <f t="shared" si="2"/>
        <v>3.4000000000000002E-2</v>
      </c>
      <c r="F25" s="556">
        <f t="shared" si="2"/>
        <v>0.30399999999999999</v>
      </c>
      <c r="G25" s="877" t="str">
        <f t="shared" si="4"/>
        <v>Added 2020 from reference</v>
      </c>
      <c r="H25" s="875"/>
    </row>
    <row r="26" spans="1:8" ht="14.1" customHeight="1">
      <c r="A26" s="25">
        <f t="shared" si="0"/>
        <v>23</v>
      </c>
      <c r="B26" s="874" t="s">
        <v>2939</v>
      </c>
      <c r="C26" s="875" t="str">
        <f>'Below Grade Walls &amp; Slabs'!L165</f>
        <v>R21 Batt w/TB, 7' depth</v>
      </c>
      <c r="D26" s="875" t="str">
        <f>'Below Grade Walls &amp; Slabs'!D165</f>
        <v>WSU</v>
      </c>
      <c r="E26" s="556">
        <f t="shared" si="2"/>
        <v>3.5000000000000003E-2</v>
      </c>
      <c r="F26" s="556">
        <f t="shared" si="2"/>
        <v>0.5</v>
      </c>
      <c r="G26" s="877" t="str">
        <f t="shared" si="4"/>
        <v>Updated to WSEC 2018</v>
      </c>
      <c r="H26" s="875"/>
    </row>
    <row r="27" spans="1:8" ht="14.1" customHeight="1">
      <c r="A27" s="25">
        <f t="shared" si="0"/>
        <v>24</v>
      </c>
      <c r="B27" s="26"/>
      <c r="C27" s="26" t="str">
        <f>'Below Grade Walls &amp; Slabs'!C166</f>
        <v>============================</v>
      </c>
      <c r="D27" s="26"/>
      <c r="E27" s="556"/>
      <c r="F27" s="556"/>
    </row>
    <row r="28" spans="1:8" ht="14.1" customHeight="1">
      <c r="A28" s="25">
        <f t="shared" si="0"/>
        <v>25</v>
      </c>
      <c r="B28" s="874" t="s">
        <v>2937</v>
      </c>
      <c r="C28" s="875" t="str">
        <f>'Below Grade Walls &amp; Slabs'!F167</f>
        <v>R0  Uninsulated, 2' depth</v>
      </c>
      <c r="D28" s="876" t="str">
        <f>'Below Grade Walls &amp; Slabs'!E167</f>
        <v>Updated to WSEC 2018</v>
      </c>
      <c r="E28" s="877">
        <f>'Below Grade Walls &amp; Slabs'!G167</f>
        <v>0.33100000000000002</v>
      </c>
      <c r="F28" s="877">
        <f>'Below Grade Walls &amp; Slabs'!H167</f>
        <v>0.57999999999999996</v>
      </c>
      <c r="G28" s="875" t="str">
        <f>'Below Grade Walls &amp; Slabs'!E167</f>
        <v>Updated to WSEC 2018</v>
      </c>
    </row>
    <row r="29" spans="1:8" ht="14.1" customHeight="1">
      <c r="A29" s="25">
        <f t="shared" si="0"/>
        <v>26</v>
      </c>
      <c r="B29" s="874" t="s">
        <v>2937</v>
      </c>
      <c r="C29" s="875" t="str">
        <f>'Below Grade Walls &amp; Slabs'!F168</f>
        <v>R10 Foam Ext, 2' depth</v>
      </c>
      <c r="D29" s="876" t="str">
        <f>'Below Grade Walls &amp; Slabs'!E168</f>
        <v>Updated to WSEC 2018</v>
      </c>
      <c r="E29" s="877">
        <f>'Below Grade Walls &amp; Slabs'!G168</f>
        <v>8.8999999999999996E-2</v>
      </c>
      <c r="F29" s="877">
        <f>'Below Grade Walls &amp; Slabs'!H168</f>
        <v>0.56000000000000005</v>
      </c>
      <c r="G29" s="875" t="str">
        <f>'Below Grade Walls &amp; Slabs'!E170</f>
        <v>Updated to WSEC 2018</v>
      </c>
    </row>
    <row r="30" spans="1:8" ht="14.1" customHeight="1">
      <c r="B30" s="874"/>
      <c r="C30" s="875" t="str">
        <f>'Below Grade Walls &amp; Slabs'!F169</f>
        <v>R10 Foam Ext w/TB, R10 Full Underslab, 2' depth</v>
      </c>
      <c r="D30" s="876" t="str">
        <f>'Below Grade Walls &amp; Slabs'!E169</f>
        <v>Added 2020</v>
      </c>
      <c r="E30" s="877">
        <f>'Below Grade Walls &amp; Slabs'!G169</f>
        <v>6.8000000000000005E-2</v>
      </c>
      <c r="F30" s="877">
        <f>'Below Grade Walls &amp; Slabs'!H169</f>
        <v>0.34499999999999997</v>
      </c>
      <c r="G30" s="875" t="str">
        <f>'Below Grade Walls &amp; Slabs'!E171</f>
        <v>Updated to WSEC 2018</v>
      </c>
    </row>
    <row r="31" spans="1:8" ht="14.1" customHeight="1">
      <c r="A31" s="25">
        <f>A29+1</f>
        <v>27</v>
      </c>
      <c r="B31" s="874" t="s">
        <v>2937</v>
      </c>
      <c r="C31" s="875" t="str">
        <f>'Below Grade Walls &amp; Slabs'!F170</f>
        <v>R11 Batt, 2' depth</v>
      </c>
      <c r="D31" s="876" t="str">
        <f>'Below Grade Walls &amp; Slabs'!E170</f>
        <v>Updated to WSEC 2018</v>
      </c>
      <c r="E31" s="877">
        <f>'Below Grade Walls &amp; Slabs'!G170</f>
        <v>6.3E-2</v>
      </c>
      <c r="F31" s="877">
        <f>'Below Grade Walls &amp; Slabs'!H170</f>
        <v>0.67</v>
      </c>
      <c r="G31" s="875" t="str">
        <f>'Below Grade Walls &amp; Slabs'!E172</f>
        <v>Added 2023 from reference</v>
      </c>
    </row>
    <row r="32" spans="1:8" ht="14.1" customHeight="1">
      <c r="A32" s="25">
        <f t="shared" si="0"/>
        <v>28</v>
      </c>
      <c r="B32" s="874" t="s">
        <v>2937</v>
      </c>
      <c r="C32" s="875" t="str">
        <f>'Below Grade Walls &amp; Slabs'!F171</f>
        <v>R11 Batt w/TB, 2' depth</v>
      </c>
      <c r="D32" s="876" t="str">
        <f>'Below Grade Walls &amp; Slabs'!E171</f>
        <v>Updated to WSEC 2018</v>
      </c>
      <c r="E32" s="877">
        <f>'Below Grade Walls &amp; Slabs'!G171</f>
        <v>6.5000000000000002E-2</v>
      </c>
      <c r="F32" s="877">
        <f>'Below Grade Walls &amp; Slabs'!H171</f>
        <v>0.59</v>
      </c>
      <c r="G32" s="875" t="str">
        <f>'Below Grade Walls &amp; Slabs'!E173</f>
        <v>Added 2020 from reference</v>
      </c>
    </row>
    <row r="33" spans="1:8" ht="14.1" customHeight="1">
      <c r="A33" s="25">
        <f t="shared" si="0"/>
        <v>29</v>
      </c>
      <c r="B33" s="874" t="s">
        <v>2937</v>
      </c>
      <c r="C33" s="875" t="str">
        <f>'Below Grade Walls &amp; Slabs'!F172</f>
        <v>R11 Batt + R5 ci, 2' depth</v>
      </c>
      <c r="D33" s="876" t="str">
        <f>'Below Grade Walls &amp; Slabs'!E172</f>
        <v>Added 2023 from reference</v>
      </c>
      <c r="E33" s="877">
        <f>'Below Grade Walls &amp; Slabs'!G172</f>
        <v>4.3999999999999997E-2</v>
      </c>
      <c r="F33" s="877">
        <f>'Below Grade Walls &amp; Slabs'!H172</f>
        <v>0.67700000000000005</v>
      </c>
      <c r="G33" s="875" t="str">
        <f>'Below Grade Walls &amp; Slabs'!E174</f>
        <v>Added 2020 from reference</v>
      </c>
      <c r="H33" s="875"/>
    </row>
    <row r="34" spans="1:8" ht="14.1" customHeight="1">
      <c r="A34" s="25">
        <f t="shared" si="0"/>
        <v>30</v>
      </c>
      <c r="B34" s="874" t="s">
        <v>2937</v>
      </c>
      <c r="C34" s="875" t="str">
        <f>'Below Grade Walls &amp; Slabs'!F173</f>
        <v>R11 Batt + R5 ci w/TB, 2' depth</v>
      </c>
      <c r="D34" s="876" t="str">
        <f>'Below Grade Walls &amp; Slabs'!E173</f>
        <v>Added 2020 from reference</v>
      </c>
      <c r="E34" s="877">
        <f>'Below Grade Walls &amp; Slabs'!G173</f>
        <v>4.5999999999999999E-2</v>
      </c>
      <c r="F34" s="877">
        <f>'Below Grade Walls &amp; Slabs'!H173</f>
        <v>0.59</v>
      </c>
      <c r="G34" s="875" t="str">
        <f>'Below Grade Walls &amp; Slabs'!E175</f>
        <v>Updated to WSEC 2018</v>
      </c>
      <c r="H34" s="875"/>
    </row>
    <row r="35" spans="1:8" ht="14.1" customHeight="1">
      <c r="A35" s="25">
        <f t="shared" si="0"/>
        <v>31</v>
      </c>
      <c r="B35" s="874" t="s">
        <v>2937</v>
      </c>
      <c r="C35" s="875" t="str">
        <f>'Below Grade Walls &amp; Slabs'!F174</f>
        <v>R11 Batt + R5 ci R10 Fully Underslab, 2' depth</v>
      </c>
      <c r="D35" s="876" t="str">
        <f>'Below Grade Walls &amp; Slabs'!E174</f>
        <v>Added 2020 from reference</v>
      </c>
      <c r="E35" s="877">
        <f>'Below Grade Walls &amp; Slabs'!G174</f>
        <v>4.8000000000000001E-2</v>
      </c>
      <c r="F35" s="877">
        <f>'Below Grade Walls &amp; Slabs'!H174</f>
        <v>0.34799999999999998</v>
      </c>
      <c r="G35" s="875" t="str">
        <f>'Below Grade Walls &amp; Slabs'!E176</f>
        <v>Interpolated between R11 and R19</v>
      </c>
      <c r="H35" s="875"/>
    </row>
    <row r="36" spans="1:8" ht="14.1" customHeight="1">
      <c r="A36" s="25">
        <f t="shared" si="0"/>
        <v>32</v>
      </c>
      <c r="B36" s="874" t="s">
        <v>2937</v>
      </c>
      <c r="C36" s="875" t="str">
        <f>'Below Grade Walls &amp; Slabs'!F175</f>
        <v>R12 Foam Ext, 2' depth</v>
      </c>
      <c r="D36" s="876" t="str">
        <f>'Below Grade Walls &amp; Slabs'!E175</f>
        <v>Updated to WSEC 2018</v>
      </c>
      <c r="E36" s="877">
        <f>'Below Grade Walls &amp; Slabs'!G175</f>
        <v>0.61</v>
      </c>
      <c r="F36" s="877">
        <f>'Below Grade Walls &amp; Slabs'!H175</f>
        <v>0.6</v>
      </c>
      <c r="G36" s="875" t="str">
        <f>'Below Grade Walls &amp; Slabs'!E177</f>
        <v>Interpolated between R11 and R19</v>
      </c>
      <c r="H36" s="875"/>
    </row>
    <row r="37" spans="1:8" ht="14.1" customHeight="1">
      <c r="A37" s="25">
        <f t="shared" si="0"/>
        <v>33</v>
      </c>
      <c r="B37" s="874" t="s">
        <v>2937</v>
      </c>
      <c r="C37" s="875" t="str">
        <f>'Below Grade Walls &amp; Slabs'!F176</f>
        <v>R13 Batt, 2' depth</v>
      </c>
      <c r="D37" s="876" t="str">
        <f>'Below Grade Walls &amp; Slabs'!E176</f>
        <v>Interpolated between R11 and R19</v>
      </c>
      <c r="E37" s="877">
        <f>'Below Grade Walls &amp; Slabs'!G176</f>
        <v>5.6007000000000001E-2</v>
      </c>
      <c r="F37" s="877">
        <f>'Below Grade Walls &amp; Slabs'!H176</f>
        <v>0.6733300000000001</v>
      </c>
      <c r="G37" s="875" t="str">
        <f>'Below Grade Walls &amp; Slabs'!E178</f>
        <v>Interpolated between R11 and R19</v>
      </c>
      <c r="H37" s="875"/>
    </row>
    <row r="38" spans="1:8" ht="14.1" customHeight="1">
      <c r="A38" s="25">
        <f t="shared" si="0"/>
        <v>34</v>
      </c>
      <c r="B38" s="874" t="s">
        <v>2937</v>
      </c>
      <c r="C38" s="875" t="str">
        <f>'Below Grade Walls &amp; Slabs'!F177</f>
        <v>R13 Batt w/TB , 2' depth</v>
      </c>
      <c r="D38" s="876" t="str">
        <f>'Below Grade Walls &amp; Slabs'!E177</f>
        <v>Interpolated between R11 and R19</v>
      </c>
      <c r="E38" s="877">
        <f>'Below Grade Walls &amp; Slabs'!G177</f>
        <v>5.8340000000000003E-2</v>
      </c>
      <c r="F38" s="877">
        <f>'Below Grade Walls &amp; Slabs'!H177</f>
        <v>0.59</v>
      </c>
      <c r="G38" s="875" t="str">
        <f>'Below Grade Walls &amp; Slabs'!E179</f>
        <v>Interpolated between R11 and R19</v>
      </c>
      <c r="H38" s="875"/>
    </row>
    <row r="39" spans="1:8" ht="14.1" customHeight="1">
      <c r="A39" s="25">
        <f t="shared" si="0"/>
        <v>35</v>
      </c>
      <c r="B39" s="874" t="s">
        <v>2937</v>
      </c>
      <c r="C39" s="875" t="str">
        <f>'Below Grade Walls &amp; Slabs'!F178</f>
        <v>R13 Batt + R5 ci, 2' depth</v>
      </c>
      <c r="D39" s="876" t="str">
        <f>'Below Grade Walls &amp; Slabs'!E178</f>
        <v>Interpolated between R11 and R19</v>
      </c>
      <c r="E39" s="877">
        <f>'Below Grade Walls &amp; Slabs'!G178</f>
        <v>4.0336999999999998E-2</v>
      </c>
      <c r="F39" s="877">
        <f>'Below Grade Walls &amp; Slabs'!H178</f>
        <v>0.67866500000000007</v>
      </c>
      <c r="G39" s="875" t="str">
        <f>'Below Grade Walls &amp; Slabs'!E180</f>
        <v>Interpolated between R11 and R19</v>
      </c>
      <c r="H39" s="875"/>
    </row>
    <row r="40" spans="1:8" ht="14.1" customHeight="1">
      <c r="A40" s="25">
        <f t="shared" si="0"/>
        <v>36</v>
      </c>
      <c r="B40" s="874" t="s">
        <v>2937</v>
      </c>
      <c r="C40" s="875" t="str">
        <f>'Below Grade Walls &amp; Slabs'!F179</f>
        <v>R13 Batt + R5 ci R10 Fully Underslab, 2' depth</v>
      </c>
      <c r="D40" s="876" t="str">
        <f>'Below Grade Walls &amp; Slabs'!E179</f>
        <v>Interpolated between R11 and R19</v>
      </c>
      <c r="E40" s="877">
        <f>'Below Grade Walls &amp; Slabs'!G179</f>
        <v>4.4004000000000001E-2</v>
      </c>
      <c r="F40" s="877">
        <f>'Below Grade Walls &amp; Slabs'!H179</f>
        <v>0.34866599999999998</v>
      </c>
      <c r="G40" s="875" t="str">
        <f>'Below Grade Walls &amp; Slabs'!E181</f>
        <v>Interpolated between R11 and R19</v>
      </c>
      <c r="H40" s="875"/>
    </row>
    <row r="41" spans="1:8" ht="14.1" customHeight="1">
      <c r="A41" s="25">
        <f t="shared" si="0"/>
        <v>37</v>
      </c>
      <c r="B41" s="874" t="s">
        <v>2937</v>
      </c>
      <c r="C41" s="875" t="str">
        <f>'Below Grade Walls &amp; Slabs'!F180</f>
        <v>R15 Batt, 2' depth</v>
      </c>
      <c r="D41" s="876" t="str">
        <f>'Below Grade Walls &amp; Slabs'!E180</f>
        <v>Interpolated between R11 and R19</v>
      </c>
      <c r="E41" s="877">
        <f>'Below Grade Walls &amp; Slabs'!G180</f>
        <v>5.2500000000000005E-2</v>
      </c>
      <c r="F41" s="877">
        <f>'Below Grade Walls &amp; Slabs'!H180</f>
        <v>0.67500000000000004</v>
      </c>
      <c r="G41" s="875" t="str">
        <f>'Below Grade Walls &amp; Slabs'!E182</f>
        <v>Updated to WSEC 2018</v>
      </c>
      <c r="H41" s="875"/>
    </row>
    <row r="42" spans="1:8" ht="14.1" customHeight="1">
      <c r="A42" s="25">
        <f t="shared" si="0"/>
        <v>38</v>
      </c>
      <c r="B42" s="874" t="s">
        <v>2937</v>
      </c>
      <c r="C42" s="875" t="str">
        <f>'Below Grade Walls &amp; Slabs'!F181</f>
        <v>R15 Batt w/TB, 2' depth</v>
      </c>
      <c r="D42" s="876" t="str">
        <f>'Below Grade Walls &amp; Slabs'!E181</f>
        <v>Interpolated between R11 and R19</v>
      </c>
      <c r="E42" s="877">
        <f>'Below Grade Walls &amp; Slabs'!G181</f>
        <v>5.5E-2</v>
      </c>
      <c r="F42" s="877">
        <f>'Below Grade Walls &amp; Slabs'!H181</f>
        <v>0.59</v>
      </c>
      <c r="G42" s="875" t="str">
        <f>'Below Grade Walls &amp; Slabs'!E183</f>
        <v>Updated to WSEC 2018</v>
      </c>
      <c r="H42" s="875"/>
    </row>
    <row r="43" spans="1:8" ht="14.1" customHeight="1">
      <c r="A43" s="25">
        <f t="shared" si="0"/>
        <v>39</v>
      </c>
      <c r="B43" s="874" t="s">
        <v>2937</v>
      </c>
      <c r="C43" s="875" t="str">
        <f>'Below Grade Walls &amp; Slabs'!F182</f>
        <v>R19 Batt, 2' depth</v>
      </c>
      <c r="D43" s="876" t="str">
        <f>'Below Grade Walls &amp; Slabs'!E182</f>
        <v>Updated to WSEC 2018</v>
      </c>
      <c r="E43" s="877">
        <f>'Below Grade Walls &amp; Slabs'!G182</f>
        <v>4.2000000000000003E-2</v>
      </c>
      <c r="F43" s="877">
        <f>'Below Grade Walls &amp; Slabs'!H182</f>
        <v>0.68</v>
      </c>
      <c r="G43" s="875" t="str">
        <f>'Below Grade Walls &amp; Slabs'!E184</f>
        <v>Added 2023 from reference</v>
      </c>
      <c r="H43" s="875"/>
    </row>
    <row r="44" spans="1:8" ht="14.1" customHeight="1">
      <c r="A44" s="25">
        <f t="shared" si="0"/>
        <v>40</v>
      </c>
      <c r="B44" s="874" t="s">
        <v>2937</v>
      </c>
      <c r="C44" s="875" t="str">
        <f>'Below Grade Walls &amp; Slabs'!F183</f>
        <v>R19 Batt w/TB, 2' depth</v>
      </c>
      <c r="D44" s="876" t="str">
        <f>'Below Grade Walls &amp; Slabs'!E183</f>
        <v>Updated to WSEC 2018</v>
      </c>
      <c r="E44" s="877">
        <f>'Below Grade Walls &amp; Slabs'!G183</f>
        <v>4.4999999999999998E-2</v>
      </c>
      <c r="F44" s="877">
        <f>'Below Grade Walls &amp; Slabs'!H183</f>
        <v>0.59</v>
      </c>
      <c r="G44" s="875" t="str">
        <f>'Below Grade Walls &amp; Slabs'!E185</f>
        <v>Added 2023 from reference</v>
      </c>
      <c r="H44" s="875"/>
    </row>
    <row r="45" spans="1:8" ht="14.1" customHeight="1">
      <c r="A45" s="25">
        <f t="shared" si="0"/>
        <v>41</v>
      </c>
      <c r="B45" s="874" t="s">
        <v>2937</v>
      </c>
      <c r="C45" s="875" t="str">
        <f>'Below Grade Walls &amp; Slabs'!F184</f>
        <v>R19 Batt + R5 ci, 2' depth</v>
      </c>
      <c r="D45" s="876" t="str">
        <f>'Below Grade Walls &amp; Slabs'!E184</f>
        <v>Added 2023 from reference</v>
      </c>
      <c r="E45" s="877">
        <f>'Below Grade Walls &amp; Slabs'!G184</f>
        <v>3.3000000000000002E-2</v>
      </c>
      <c r="F45" s="877">
        <f>'Below Grade Walls &amp; Slabs'!H184</f>
        <v>0.68200000000000005</v>
      </c>
      <c r="G45" s="875" t="str">
        <f>'Below Grade Walls &amp; Slabs'!E186</f>
        <v>Added 2023 from reference</v>
      </c>
      <c r="H45" s="875"/>
    </row>
    <row r="46" spans="1:8" ht="14.1" customHeight="1">
      <c r="A46" s="25">
        <f t="shared" si="0"/>
        <v>42</v>
      </c>
      <c r="B46" s="874" t="s">
        <v>2937</v>
      </c>
      <c r="C46" s="875" t="str">
        <f>'Below Grade Walls &amp; Slabs'!F185</f>
        <v>R19 Batt + R5 ci w/TB, 2' depth</v>
      </c>
      <c r="D46" s="876" t="str">
        <f>'Below Grade Walls &amp; Slabs'!E185</f>
        <v>Added 2023 from reference</v>
      </c>
      <c r="E46" s="877">
        <f>'Below Grade Walls &amp; Slabs'!G185</f>
        <v>3.4000000000000002E-2</v>
      </c>
      <c r="F46" s="877">
        <f>'Below Grade Walls &amp; Slabs'!H185</f>
        <v>0.59399999999999997</v>
      </c>
      <c r="G46" s="875" t="str">
        <f>'Below Grade Walls &amp; Slabs'!E187</f>
        <v>Added 2020 from reference</v>
      </c>
      <c r="H46" s="875"/>
    </row>
    <row r="47" spans="1:8" ht="14.1" customHeight="1">
      <c r="A47" s="25">
        <f t="shared" si="0"/>
        <v>43</v>
      </c>
      <c r="B47" s="874" t="s">
        <v>2937</v>
      </c>
      <c r="C47" s="875" t="str">
        <f>'Below Grade Walls &amp; Slabs'!F186</f>
        <v>R19 Batt + R5 ci R10 Fully Underslab, 2' depth</v>
      </c>
      <c r="D47" s="876" t="str">
        <f>'Below Grade Walls &amp; Slabs'!E186</f>
        <v>Added 2023 from reference</v>
      </c>
      <c r="E47" s="877">
        <f>'Below Grade Walls &amp; Slabs'!G186</f>
        <v>3.5999999999999997E-2</v>
      </c>
      <c r="F47" s="877">
        <f>'Below Grade Walls &amp; Slabs'!H186</f>
        <v>0.35</v>
      </c>
      <c r="G47" s="875" t="str">
        <f>'Below Grade Walls &amp; Slabs'!E188</f>
        <v>Updated to WSEC 2018</v>
      </c>
      <c r="H47" s="875"/>
    </row>
    <row r="48" spans="1:8" ht="14.1" customHeight="1">
      <c r="A48" s="25">
        <f t="shared" si="0"/>
        <v>44</v>
      </c>
      <c r="B48" s="874" t="s">
        <v>2937</v>
      </c>
      <c r="C48" s="875" t="str">
        <f>'Below Grade Walls &amp; Slabs'!F187</f>
        <v>R20 Foam Ext w/TB, R10 Full Underslab, 2' depth</v>
      </c>
      <c r="D48" s="876" t="str">
        <f>'Below Grade Walls &amp; Slabs'!E187</f>
        <v>Added 2020 from reference</v>
      </c>
      <c r="E48" s="877">
        <f>'Below Grade Walls &amp; Slabs'!G187</f>
        <v>0.04</v>
      </c>
      <c r="F48" s="877">
        <f>'Below Grade Walls &amp; Slabs'!H187</f>
        <v>0.35</v>
      </c>
      <c r="G48" s="875" t="str">
        <f>'Below Grade Walls &amp; Slabs'!E189</f>
        <v>Updated to WSEC 2018</v>
      </c>
      <c r="H48" s="875"/>
    </row>
    <row r="49" spans="1:8" ht="14.1" customHeight="1">
      <c r="A49" s="25">
        <f t="shared" si="0"/>
        <v>45</v>
      </c>
      <c r="B49" s="874" t="s">
        <v>2937</v>
      </c>
      <c r="C49" s="875" t="str">
        <f>'Below Grade Walls &amp; Slabs'!F188</f>
        <v>R21 Batt, 2' depth</v>
      </c>
      <c r="D49" s="876" t="str">
        <f>'Below Grade Walls &amp; Slabs'!E188</f>
        <v>Updated to WSEC 2018</v>
      </c>
      <c r="E49" s="877">
        <f>'Below Grade Walls &amp; Slabs'!G188</f>
        <v>0.04</v>
      </c>
      <c r="F49" s="877">
        <f>'Below Grade Walls &amp; Slabs'!H188</f>
        <v>0.68</v>
      </c>
      <c r="G49" s="875" t="str">
        <f>'Below Grade Walls &amp; Slabs'!E190</f>
        <v>Added in  WSEC 2018</v>
      </c>
      <c r="H49" s="875"/>
    </row>
    <row r="50" spans="1:8" ht="14.1" customHeight="1">
      <c r="A50" s="25">
        <f t="shared" si="0"/>
        <v>46</v>
      </c>
      <c r="B50" s="874" t="s">
        <v>2937</v>
      </c>
      <c r="C50" s="875" t="str">
        <f>'Below Grade Walls &amp; Slabs'!F189</f>
        <v>R21 Batt w/TB, 2' depth</v>
      </c>
      <c r="D50" s="876" t="str">
        <f>'Below Grade Walls &amp; Slabs'!E189</f>
        <v>Updated to WSEC 2018</v>
      </c>
      <c r="E50" s="877">
        <f>'Below Grade Walls &amp; Slabs'!G189</f>
        <v>4.2000000000000003E-2</v>
      </c>
      <c r="F50" s="877">
        <f>'Below Grade Walls &amp; Slabs'!H189</f>
        <v>0.59</v>
      </c>
      <c r="G50" s="875" t="str">
        <f>'Below Grade Walls &amp; Slabs'!E191</f>
        <v>Added in  WSEC 2018</v>
      </c>
      <c r="H50" s="875"/>
    </row>
    <row r="51" spans="1:8" ht="14.1" customHeight="1">
      <c r="A51" s="25">
        <f t="shared" si="0"/>
        <v>47</v>
      </c>
      <c r="B51" s="874" t="s">
        <v>2937</v>
      </c>
      <c r="C51" s="875" t="str">
        <f>'Below Grade Walls &amp; Slabs'!F190</f>
        <v>R21 Batt + R5 ci, 2' depth</v>
      </c>
      <c r="D51" s="876" t="str">
        <f>'Below Grade Walls &amp; Slabs'!E190</f>
        <v>Added in  WSEC 2018</v>
      </c>
      <c r="E51" s="877">
        <f>'Below Grade Walls &amp; Slabs'!G190</f>
        <v>3.1E-2</v>
      </c>
      <c r="F51" s="877">
        <f>'Below Grade Walls &amp; Slabs'!H190</f>
        <v>0.68</v>
      </c>
      <c r="G51" s="875" t="str">
        <f>'Below Grade Walls &amp; Slabs'!E192</f>
        <v>Added in  WSEC 2018</v>
      </c>
      <c r="H51" s="875"/>
    </row>
    <row r="52" spans="1:8" ht="14.1" customHeight="1">
      <c r="A52" s="25">
        <f t="shared" si="0"/>
        <v>48</v>
      </c>
      <c r="B52" s="874" t="s">
        <v>2937</v>
      </c>
      <c r="C52" s="875" t="str">
        <f>'Below Grade Walls &amp; Slabs'!F191</f>
        <v>R21 Batt + R5 ci w/TB, 2' depth</v>
      </c>
      <c r="D52" s="876" t="str">
        <f>'Below Grade Walls &amp; Slabs'!E191</f>
        <v>Added in  WSEC 2018</v>
      </c>
      <c r="E52" s="877">
        <f>'Below Grade Walls &amp; Slabs'!G191</f>
        <v>3.2000000000000001E-2</v>
      </c>
      <c r="F52" s="877">
        <f>'Below Grade Walls &amp; Slabs'!H191</f>
        <v>0.59</v>
      </c>
      <c r="G52" s="875" t="str">
        <f>'Below Grade Walls &amp; Slabs'!E193</f>
        <v>Added in  WSEC 2018</v>
      </c>
      <c r="H52" s="875"/>
    </row>
    <row r="53" spans="1:8" ht="14.1" customHeight="1">
      <c r="A53" s="25">
        <f t="shared" si="0"/>
        <v>49</v>
      </c>
      <c r="B53" s="874" t="s">
        <v>2937</v>
      </c>
      <c r="C53" s="875" t="str">
        <f>'Below Grade Walls &amp; Slabs'!F192</f>
        <v>R21 Batt + R7 ci, 2' depth</v>
      </c>
      <c r="D53" s="876" t="str">
        <f>'Below Grade Walls &amp; Slabs'!E192</f>
        <v>Added in  WSEC 2018</v>
      </c>
      <c r="E53" s="877">
        <f>'Below Grade Walls &amp; Slabs'!G192</f>
        <v>2.9000000000000001E-2</v>
      </c>
      <c r="F53" s="877">
        <f>'Below Grade Walls &amp; Slabs'!H192</f>
        <v>0.68</v>
      </c>
      <c r="G53" s="875" t="str">
        <f>'Below Grade Walls &amp; Slabs'!E194</f>
        <v>Added 2020 from reference</v>
      </c>
      <c r="H53" s="875"/>
    </row>
    <row r="54" spans="1:8" ht="14.1" customHeight="1">
      <c r="A54" s="25">
        <f t="shared" si="0"/>
        <v>50</v>
      </c>
      <c r="B54" s="874" t="s">
        <v>2937</v>
      </c>
      <c r="C54" s="875" t="str">
        <f>'Below Grade Walls &amp; Slabs'!F193</f>
        <v>R21 Batt + R7 ci w/TB, 2' depth</v>
      </c>
      <c r="D54" s="876" t="str">
        <f>'Below Grade Walls &amp; Slabs'!E193</f>
        <v>Added in  WSEC 2018</v>
      </c>
      <c r="E54" s="877">
        <f>'Below Grade Walls &amp; Slabs'!G193</f>
        <v>0.03</v>
      </c>
      <c r="F54" s="877">
        <f>'Below Grade Walls &amp; Slabs'!H193</f>
        <v>0.59</v>
      </c>
      <c r="G54" s="875" t="str">
        <f>'Below Grade Walls &amp; Slabs'!E195</f>
        <v>Added 2020 from reference</v>
      </c>
      <c r="H54" s="875"/>
    </row>
    <row r="55" spans="1:8" ht="14.1" customHeight="1">
      <c r="A55" s="25">
        <f t="shared" si="0"/>
        <v>51</v>
      </c>
      <c r="B55" s="874" t="s">
        <v>2937</v>
      </c>
      <c r="C55" s="875" t="str">
        <f>'Below Grade Walls &amp; Slabs'!F194</f>
        <v>R21 Batt + R5 ci R10 Fully Underslab, 2' depth</v>
      </c>
      <c r="D55" s="876" t="str">
        <f>'Below Grade Walls &amp; Slabs'!E194</f>
        <v>Added 2020 from reference</v>
      </c>
      <c r="E55" s="877">
        <f>'Below Grade Walls &amp; Slabs'!G194</f>
        <v>3.1E-2</v>
      </c>
      <c r="F55" s="877">
        <f>'Below Grade Walls &amp; Slabs'!H194</f>
        <v>0.35</v>
      </c>
      <c r="G55" s="875" t="str">
        <f>'Below Grade Walls &amp; Slabs'!E196</f>
        <v>Added 2020 from reference</v>
      </c>
      <c r="H55" s="875"/>
    </row>
    <row r="56" spans="1:8" ht="14.1" customHeight="1">
      <c r="A56" s="25">
        <f t="shared" si="0"/>
        <v>52</v>
      </c>
      <c r="B56" s="874" t="s">
        <v>2937</v>
      </c>
      <c r="C56" s="875" t="str">
        <f>'Below Grade Walls &amp; Slabs'!F195</f>
        <v>R25 Batt w/TB, 2' depth</v>
      </c>
      <c r="D56" s="876" t="str">
        <f>'Below Grade Walls &amp; Slabs'!E195</f>
        <v>Added 2020 from reference</v>
      </c>
      <c r="E56" s="877">
        <f>'Below Grade Walls &amp; Slabs'!G195</f>
        <v>3.7999999999999999E-2</v>
      </c>
      <c r="F56" s="877">
        <f>'Below Grade Walls &amp; Slabs'!H195</f>
        <v>0.59299999999999997</v>
      </c>
      <c r="G56" s="875">
        <f>'Below Grade Walls &amp; Slabs'!E197</f>
        <v>0</v>
      </c>
      <c r="H56" s="875"/>
    </row>
    <row r="57" spans="1:8" ht="14.1" customHeight="1">
      <c r="A57" s="25">
        <f t="shared" si="0"/>
        <v>53</v>
      </c>
      <c r="B57" s="878" t="s">
        <v>2937</v>
      </c>
      <c r="C57" s="875" t="str">
        <f>'Below Grade Walls &amp; Slabs'!F196</f>
        <v>R25 Batt w/TB, R10 Full Underslab, 2' depth</v>
      </c>
      <c r="D57" s="876" t="str">
        <f>'Below Grade Walls &amp; Slabs'!E196</f>
        <v>Added 2020 from reference</v>
      </c>
      <c r="E57" s="877">
        <f>'Below Grade Walls &amp; Slabs'!G196</f>
        <v>0.04</v>
      </c>
      <c r="F57" s="877">
        <f>'Below Grade Walls &amp; Slabs'!H196</f>
        <v>0.35</v>
      </c>
      <c r="G57" s="875">
        <f>'Below Grade Walls &amp; Slabs'!E198</f>
        <v>0</v>
      </c>
      <c r="H57" s="875"/>
    </row>
    <row r="58" spans="1:8" ht="14.1" customHeight="1">
      <c r="A58" s="25">
        <f t="shared" si="0"/>
        <v>54</v>
      </c>
      <c r="B58" s="879" t="s">
        <v>2938</v>
      </c>
      <c r="C58" s="625" t="str">
        <f>'Below Grade Walls &amp; Slabs'!I167</f>
        <v>R0  Uninsulated, 3.5' depth</v>
      </c>
      <c r="D58" s="880" t="str">
        <f>'Below Grade Walls &amp; Slabs'!D167</f>
        <v>10-1</v>
      </c>
      <c r="E58" s="626">
        <f>'Below Grade Walls &amp; Slabs'!J167</f>
        <v>0.27100000000000002</v>
      </c>
      <c r="F58" s="626">
        <f>'Below Grade Walls &amp; Slabs'!K167</f>
        <v>0.51</v>
      </c>
      <c r="G58" s="625" t="str">
        <f>'Below Grade Walls &amp; Slabs'!E167</f>
        <v>Updated to WSEC 2018</v>
      </c>
      <c r="H58" s="625"/>
    </row>
    <row r="59" spans="1:8" ht="14.1" customHeight="1">
      <c r="A59" s="25">
        <f t="shared" si="0"/>
        <v>55</v>
      </c>
      <c r="B59" s="870" t="s">
        <v>2938</v>
      </c>
      <c r="C59" s="26" t="str">
        <f>'Below Grade Walls &amp; Slabs'!I168</f>
        <v>R10 Foam Ext, 3.5' depth</v>
      </c>
      <c r="D59" s="947" t="str">
        <f>'Below Grade Walls &amp; Slabs'!D168</f>
        <v>10-1</v>
      </c>
      <c r="E59" s="556">
        <f>'Below Grade Walls &amp; Slabs'!J168</f>
        <v>7.4999999999999997E-2</v>
      </c>
      <c r="F59" s="556">
        <f>'Below Grade Walls &amp; Slabs'!K168</f>
        <v>0.52</v>
      </c>
      <c r="G59" s="26" t="str">
        <f>'Below Grade Walls &amp; Slabs'!E168</f>
        <v>Updated to WSEC 2018</v>
      </c>
    </row>
    <row r="60" spans="1:8" ht="14.1" customHeight="1">
      <c r="A60" s="25">
        <f t="shared" si="0"/>
        <v>56</v>
      </c>
      <c r="B60" s="870" t="s">
        <v>2938</v>
      </c>
      <c r="C60" s="26" t="str">
        <f>'Below Grade Walls &amp; Slabs'!I169</f>
        <v>R10 Foam Ext w/TB, R10 Full Underslab, 3.5' depth</v>
      </c>
      <c r="D60" s="947" t="str">
        <f>'Below Grade Walls &amp; Slabs'!D169</f>
        <v>Baylon &amp; Kennedy, https://web.ornl.gov/sci/buildings/conf-archive/2007%20B10%20papers/092_Baylon.pdf</v>
      </c>
      <c r="E60" s="556">
        <f>'Below Grade Walls &amp; Slabs'!J169</f>
        <v>6.4000000000000001E-2</v>
      </c>
      <c r="F60" s="556">
        <f>'Below Grade Walls &amp; Slabs'!K169</f>
        <v>0.32400000000000001</v>
      </c>
      <c r="G60" s="26" t="str">
        <f>'Below Grade Walls &amp; Slabs'!E169</f>
        <v>Added 2020</v>
      </c>
    </row>
    <row r="61" spans="1:8" ht="14.1" customHeight="1">
      <c r="A61" s="25">
        <f t="shared" si="0"/>
        <v>57</v>
      </c>
      <c r="B61" s="870" t="s">
        <v>2938</v>
      </c>
      <c r="C61" s="26" t="str">
        <f>'Below Grade Walls &amp; Slabs'!I170</f>
        <v>R11 Batt, 3.5' depth</v>
      </c>
      <c r="D61" s="947" t="str">
        <f>'Below Grade Walls &amp; Slabs'!D170</f>
        <v>10-1</v>
      </c>
      <c r="E61" s="556">
        <f>'Below Grade Walls &amp; Slabs'!J170</f>
        <v>5.8000000000000003E-2</v>
      </c>
      <c r="F61" s="556">
        <f>'Below Grade Walls &amp; Slabs'!K170</f>
        <v>0.61</v>
      </c>
      <c r="G61" s="26" t="str">
        <f>'Below Grade Walls &amp; Slabs'!E170</f>
        <v>Updated to WSEC 2018</v>
      </c>
    </row>
    <row r="62" spans="1:8" ht="14.1" customHeight="1">
      <c r="A62" s="25">
        <f t="shared" si="0"/>
        <v>58</v>
      </c>
      <c r="B62" s="870" t="s">
        <v>2938</v>
      </c>
      <c r="C62" s="26" t="str">
        <f>'Below Grade Walls &amp; Slabs'!I171</f>
        <v>R11 Batt w/TB, 3.5' depth</v>
      </c>
      <c r="D62" s="947" t="str">
        <f>'Below Grade Walls &amp; Slabs'!D171</f>
        <v>10-1</v>
      </c>
      <c r="E62" s="556">
        <f>'Below Grade Walls &amp; Slabs'!J171</f>
        <v>6.0999999999999999E-2</v>
      </c>
      <c r="F62" s="556">
        <f>'Below Grade Walls &amp; Slabs'!K171</f>
        <v>0.55000000000000004</v>
      </c>
      <c r="G62" s="26" t="str">
        <f>'Below Grade Walls &amp; Slabs'!E171</f>
        <v>Updated to WSEC 2018</v>
      </c>
    </row>
    <row r="63" spans="1:8" ht="14.1" customHeight="1">
      <c r="A63" s="25">
        <f t="shared" si="0"/>
        <v>59</v>
      </c>
      <c r="B63" s="870" t="s">
        <v>2938</v>
      </c>
      <c r="C63" s="26" t="str">
        <f>'Below Grade Walls &amp; Slabs'!I172</f>
        <v>R11 Batt + R5 ci, 3.5' depth</v>
      </c>
      <c r="D63" s="947" t="str">
        <f>'Below Grade Walls &amp; Slabs'!D172</f>
        <v>Baylon &amp; Kennedy, https://web.ornl.gov/sci/buildings/conf-archive/2007%20B10%20papers/092_Baylon.pdf</v>
      </c>
      <c r="E63" s="556">
        <f>'Below Grade Walls &amp; Slabs'!J172</f>
        <v>4.2000000000000003E-2</v>
      </c>
      <c r="F63" s="556">
        <f>'Below Grade Walls &amp; Slabs'!K172</f>
        <v>0.624</v>
      </c>
      <c r="G63" s="26" t="str">
        <f>'Below Grade Walls &amp; Slabs'!E172</f>
        <v>Added 2023 from reference</v>
      </c>
    </row>
    <row r="64" spans="1:8" ht="14.1" customHeight="1">
      <c r="A64" s="25">
        <f t="shared" si="0"/>
        <v>60</v>
      </c>
      <c r="B64" s="870" t="s">
        <v>2938</v>
      </c>
      <c r="C64" s="26" t="str">
        <f>'Below Grade Walls &amp; Slabs'!I173</f>
        <v>R11 Batt + R5 ci w/TB, 3.5' depth</v>
      </c>
      <c r="D64" s="947" t="str">
        <f>'Below Grade Walls &amp; Slabs'!D173</f>
        <v>Baylon &amp; Kennedy, https://web.ornl.gov/sci/buildings/conf-archive/2007%20B10%20papers/092_Baylon.pdf</v>
      </c>
      <c r="E64" s="556">
        <f>'Below Grade Walls &amp; Slabs'!J173</f>
        <v>4.2999999999999997E-2</v>
      </c>
      <c r="F64" s="556">
        <f>'Below Grade Walls &amp; Slabs'!K173</f>
        <v>0.55300000000000005</v>
      </c>
      <c r="G64" s="26" t="str">
        <f>'Below Grade Walls &amp; Slabs'!E173</f>
        <v>Added 2020 from reference</v>
      </c>
    </row>
    <row r="65" spans="1:15" ht="14.1" customHeight="1">
      <c r="A65" s="25">
        <f t="shared" si="0"/>
        <v>61</v>
      </c>
      <c r="B65" s="870" t="s">
        <v>2938</v>
      </c>
      <c r="C65" s="26" t="str">
        <f>'Below Grade Walls &amp; Slabs'!I174</f>
        <v>R11 Batt + R5 ci R10 Fully Underslab, 3.5' depth</v>
      </c>
      <c r="D65" s="947" t="str">
        <f>'Below Grade Walls &amp; Slabs'!D174</f>
        <v>Baylon &amp; Kennedy, https://web.ornl.gov/sci/buildings/conf-archive/2007%20B10%20papers/092_Baylon.pdf</v>
      </c>
      <c r="E65" s="556">
        <f>'Below Grade Walls &amp; Slabs'!J174</f>
        <v>4.4999999999999998E-2</v>
      </c>
      <c r="F65" s="556">
        <f>'Below Grade Walls &amp; Slabs'!K174</f>
        <v>0.32900000000000001</v>
      </c>
      <c r="G65" s="26" t="str">
        <f>'Below Grade Walls &amp; Slabs'!E174</f>
        <v>Added 2020 from reference</v>
      </c>
    </row>
    <row r="66" spans="1:15" ht="14.1" customHeight="1">
      <c r="A66" s="25">
        <f t="shared" si="0"/>
        <v>62</v>
      </c>
      <c r="B66" s="870" t="s">
        <v>2938</v>
      </c>
      <c r="C66" s="26" t="str">
        <f>'Below Grade Walls &amp; Slabs'!I175</f>
        <v>R12 Foam Ext, 3.5' depth</v>
      </c>
      <c r="D66" s="947" t="str">
        <f>'Below Grade Walls &amp; Slabs'!D175</f>
        <v>10-1</v>
      </c>
      <c r="E66" s="556">
        <f>'Below Grade Walls &amp; Slabs'!J175</f>
        <v>5.7000000000000002E-2</v>
      </c>
      <c r="F66" s="556">
        <f>'Below Grade Walls &amp; Slabs'!K175</f>
        <v>0.56999999999999995</v>
      </c>
      <c r="G66" s="26" t="str">
        <f>'Below Grade Walls &amp; Slabs'!E175</f>
        <v>Updated to WSEC 2018</v>
      </c>
    </row>
    <row r="67" spans="1:15" ht="14.1" customHeight="1">
      <c r="A67" s="25">
        <f t="shared" si="0"/>
        <v>63</v>
      </c>
      <c r="B67" s="870" t="s">
        <v>2938</v>
      </c>
      <c r="C67" s="26" t="str">
        <f>'Below Grade Walls &amp; Slabs'!I176</f>
        <v>R13 Batt, 3.5' depth</v>
      </c>
      <c r="D67" s="947" t="str">
        <f>'Below Grade Walls &amp; Slabs'!D176</f>
        <v>WSU</v>
      </c>
      <c r="E67" s="556">
        <f>'Below Grade Walls &amp; Slabs'!J176</f>
        <v>5.2339000000000011E-2</v>
      </c>
      <c r="F67" s="556">
        <f>'Below Grade Walls &amp; Slabs'!K176</f>
        <v>0.61333000000000004</v>
      </c>
      <c r="G67" s="26" t="str">
        <f>'Below Grade Walls &amp; Slabs'!E176</f>
        <v>Interpolated between R11 and R19</v>
      </c>
      <c r="O67" s="425" t="s">
        <v>2361</v>
      </c>
    </row>
    <row r="68" spans="1:15" ht="14.1" customHeight="1">
      <c r="A68" s="25">
        <f t="shared" si="0"/>
        <v>64</v>
      </c>
      <c r="B68" s="870" t="s">
        <v>2938</v>
      </c>
      <c r="C68" s="26" t="str">
        <f>'Below Grade Walls &amp; Slabs'!I177</f>
        <v>R13 Batt w/TB , 3.5' depth</v>
      </c>
      <c r="D68" s="947" t="str">
        <f>'Below Grade Walls &amp; Slabs'!D177</f>
        <v>WSU</v>
      </c>
      <c r="E68" s="556">
        <f>'Below Grade Walls &amp; Slabs'!J177</f>
        <v>5.4672999999999999E-2</v>
      </c>
      <c r="F68" s="556">
        <f>'Below Grade Walls &amp; Slabs'!K177</f>
        <v>0.55000000000000004</v>
      </c>
      <c r="G68" s="26" t="str">
        <f>'Below Grade Walls &amp; Slabs'!E177</f>
        <v>Interpolated between R11 and R19</v>
      </c>
      <c r="O68" s="425"/>
    </row>
    <row r="69" spans="1:15" ht="14.1" customHeight="1">
      <c r="A69" s="25">
        <f t="shared" si="0"/>
        <v>65</v>
      </c>
      <c r="B69" s="870" t="s">
        <v>2938</v>
      </c>
      <c r="C69" s="26" t="str">
        <f>'Below Grade Walls &amp; Slabs'!I178</f>
        <v>R13 Batt + R5 ci, 3.5' depth</v>
      </c>
      <c r="D69" s="947" t="str">
        <f>'Below Grade Walls &amp; Slabs'!D178</f>
        <v>WSU</v>
      </c>
      <c r="E69" s="556">
        <f>'Below Grade Walls &amp; Slabs'!J178</f>
        <v>3.8337000000000003E-2</v>
      </c>
      <c r="F69" s="556">
        <f>'Below Grade Walls &amp; Slabs'!K178</f>
        <v>0.62599800000000005</v>
      </c>
      <c r="G69" s="26" t="str">
        <f>'Below Grade Walls &amp; Slabs'!E178</f>
        <v>Interpolated between R11 and R19</v>
      </c>
      <c r="O69" s="425"/>
    </row>
    <row r="70" spans="1:15" ht="14.1" customHeight="1">
      <c r="A70" s="25">
        <f t="shared" si="0"/>
        <v>66</v>
      </c>
      <c r="B70" s="870" t="s">
        <v>2938</v>
      </c>
      <c r="C70" s="26" t="str">
        <f>'Below Grade Walls &amp; Slabs'!I179</f>
        <v>R13 Batt + R5 ci R10 Fully Underslab, 3.5' depth</v>
      </c>
      <c r="D70" s="947" t="str">
        <f>'Below Grade Walls &amp; Slabs'!D179</f>
        <v>WSU</v>
      </c>
      <c r="E70" s="556">
        <f>'Below Grade Walls &amp; Slabs'!J179</f>
        <v>4.1336999999999999E-2</v>
      </c>
      <c r="F70" s="556">
        <f>'Below Grade Walls &amp; Slabs'!K179</f>
        <v>0.33033200000000007</v>
      </c>
      <c r="G70" s="26" t="str">
        <f>'Below Grade Walls &amp; Slabs'!E179</f>
        <v>Interpolated between R11 and R19</v>
      </c>
    </row>
    <row r="71" spans="1:15" ht="14.1" customHeight="1">
      <c r="B71" s="870" t="s">
        <v>2938</v>
      </c>
      <c r="C71" s="26" t="str">
        <f>'Below Grade Walls &amp; Slabs'!I180</f>
        <v>R15 Batt, 3.5' depth</v>
      </c>
      <c r="D71" s="947" t="str">
        <f>'Below Grade Walls &amp; Slabs'!D180</f>
        <v>WSU</v>
      </c>
      <c r="E71" s="556">
        <f>'Below Grade Walls &amp; Slabs'!J180</f>
        <v>4.9500000000000002E-2</v>
      </c>
      <c r="F71" s="556">
        <f>'Below Grade Walls &amp; Slabs'!K180</f>
        <v>0.61499999999999999</v>
      </c>
      <c r="G71" s="26" t="str">
        <f>'Below Grade Walls &amp; Slabs'!E180</f>
        <v>Interpolated between R11 and R19</v>
      </c>
    </row>
    <row r="72" spans="1:15" ht="14.1" customHeight="1">
      <c r="A72" s="25">
        <f>A70+1</f>
        <v>67</v>
      </c>
      <c r="B72" s="870" t="s">
        <v>2938</v>
      </c>
      <c r="C72" s="26" t="str">
        <f>'Below Grade Walls &amp; Slabs'!I181</f>
        <v>R15 Batt w/TB, 3.5' depth</v>
      </c>
      <c r="D72" s="947" t="str">
        <f>'Below Grade Walls &amp; Slabs'!D181</f>
        <v>WSU</v>
      </c>
      <c r="E72" s="556">
        <f>'Below Grade Walls &amp; Slabs'!J181</f>
        <v>5.1500000000000004E-2</v>
      </c>
      <c r="F72" s="556">
        <f>'Below Grade Walls &amp; Slabs'!K181</f>
        <v>0.55000000000000004</v>
      </c>
      <c r="G72" s="26" t="str">
        <f>'Below Grade Walls &amp; Slabs'!E181</f>
        <v>Interpolated between R11 and R19</v>
      </c>
    </row>
    <row r="73" spans="1:15" ht="14.1" customHeight="1">
      <c r="A73" s="25">
        <f t="shared" si="0"/>
        <v>68</v>
      </c>
      <c r="B73" s="870" t="s">
        <v>2938</v>
      </c>
      <c r="C73" s="26" t="str">
        <f>'Below Grade Walls &amp; Slabs'!I182</f>
        <v>R19 Batt, 3.5' depth</v>
      </c>
      <c r="D73" s="947" t="str">
        <f>'Below Grade Walls &amp; Slabs'!D182</f>
        <v>10-1</v>
      </c>
      <c r="E73" s="556">
        <f>'Below Grade Walls &amp; Slabs'!J182</f>
        <v>4.1000000000000002E-2</v>
      </c>
      <c r="F73" s="556">
        <f>'Below Grade Walls &amp; Slabs'!K182</f>
        <v>0.62</v>
      </c>
      <c r="G73" s="26" t="str">
        <f>'Below Grade Walls &amp; Slabs'!E182</f>
        <v>Updated to WSEC 2018</v>
      </c>
    </row>
    <row r="74" spans="1:15" ht="14.1" customHeight="1">
      <c r="A74" s="25">
        <f t="shared" si="0"/>
        <v>69</v>
      </c>
      <c r="B74" s="870" t="s">
        <v>2938</v>
      </c>
      <c r="C74" s="26" t="str">
        <f>'Below Grade Walls &amp; Slabs'!I183</f>
        <v>R19 Batt w/TB, 3.5' depth</v>
      </c>
      <c r="D74" s="947" t="str">
        <f>'Below Grade Walls &amp; Slabs'!D183</f>
        <v>10-1</v>
      </c>
      <c r="E74" s="556">
        <f>'Below Grade Walls &amp; Slabs'!J183</f>
        <v>4.2000000000000003E-2</v>
      </c>
      <c r="F74" s="556">
        <f>'Below Grade Walls &amp; Slabs'!K183</f>
        <v>0.55000000000000004</v>
      </c>
      <c r="G74" s="26" t="str">
        <f>'Below Grade Walls &amp; Slabs'!E183</f>
        <v>Updated to WSEC 2018</v>
      </c>
    </row>
    <row r="75" spans="1:15" ht="14.1" customHeight="1">
      <c r="A75" s="25">
        <f t="shared" si="0"/>
        <v>70</v>
      </c>
      <c r="B75" s="870" t="s">
        <v>2938</v>
      </c>
      <c r="C75" s="26" t="str">
        <f>'Below Grade Walls &amp; Slabs'!I184</f>
        <v>R19 Batt + R5 ci, 3.5' depth</v>
      </c>
      <c r="D75" s="947" t="str">
        <f>'Below Grade Walls &amp; Slabs'!D184</f>
        <v>Baylon &amp; Kennedy, https://web.ornl.gov/sci/buildings/conf-archive/2007%20B10%20papers/092_Baylon.pdf</v>
      </c>
      <c r="E75" s="556">
        <f>'Below Grade Walls &amp; Slabs'!J184</f>
        <v>3.1E-2</v>
      </c>
      <c r="F75" s="556">
        <f>'Below Grade Walls &amp; Slabs'!K184</f>
        <v>0.63</v>
      </c>
      <c r="G75" s="26" t="str">
        <f>'Below Grade Walls &amp; Slabs'!E184</f>
        <v>Added 2023 from reference</v>
      </c>
    </row>
    <row r="76" spans="1:15" ht="14.1" customHeight="1">
      <c r="A76" s="25">
        <f t="shared" si="0"/>
        <v>71</v>
      </c>
      <c r="B76" s="870" t="s">
        <v>2938</v>
      </c>
      <c r="C76" s="26" t="str">
        <f>'Below Grade Walls &amp; Slabs'!I185</f>
        <v>R19 Batt + R5 ci w/TB, 3.5' depth</v>
      </c>
      <c r="D76" s="947" t="str">
        <f>'Below Grade Walls &amp; Slabs'!D185</f>
        <v>Baylon &amp; Kennedy, https://web.ornl.gov/sci/buildings/conf-archive/2007%20B10%20papers/092_Baylon.pdf</v>
      </c>
      <c r="E76" s="556">
        <f>'Below Grade Walls &amp; Slabs'!J185</f>
        <v>3.3000000000000002E-2</v>
      </c>
      <c r="F76" s="556">
        <f>'Below Grade Walls &amp; Slabs'!K185</f>
        <v>0.55800000000000005</v>
      </c>
      <c r="G76" s="26" t="str">
        <f>'Below Grade Walls &amp; Slabs'!E185</f>
        <v>Added 2023 from reference</v>
      </c>
    </row>
    <row r="77" spans="1:15" ht="14.1" customHeight="1">
      <c r="A77" s="25">
        <f t="shared" si="0"/>
        <v>72</v>
      </c>
      <c r="B77" s="870" t="s">
        <v>2938</v>
      </c>
      <c r="C77" s="26" t="str">
        <f>'Below Grade Walls &amp; Slabs'!I186</f>
        <v>R19 Batt + R5 ci R10 Fully Underslab, 3.5' depth</v>
      </c>
      <c r="D77" s="947" t="str">
        <f>'Below Grade Walls &amp; Slabs'!D186</f>
        <v>Baylon &amp; Kennedy, https://web.ornl.gov/sci/buildings/conf-archive/2007%20B10%20papers/092_Baylon.pdf</v>
      </c>
      <c r="E77" s="556">
        <f>'Below Grade Walls &amp; Slabs'!J186</f>
        <v>3.4000000000000002E-2</v>
      </c>
      <c r="F77" s="556">
        <f>'Below Grade Walls &amp; Slabs'!K186</f>
        <v>0.33300000000000002</v>
      </c>
      <c r="G77" s="26" t="str">
        <f>'Below Grade Walls &amp; Slabs'!E186</f>
        <v>Added 2023 from reference</v>
      </c>
    </row>
    <row r="78" spans="1:15" ht="14.1" customHeight="1">
      <c r="A78" s="25">
        <f t="shared" si="0"/>
        <v>73</v>
      </c>
      <c r="B78" s="870" t="s">
        <v>2938</v>
      </c>
      <c r="C78" s="26" t="str">
        <f>'Below Grade Walls &amp; Slabs'!I187</f>
        <v>R20 Foam Ext w/TB, R10 Full Underslab, 3.5' depth</v>
      </c>
      <c r="D78" s="947" t="str">
        <f>'Below Grade Walls &amp; Slabs'!D187</f>
        <v>Baylon &amp; Kennedy, https://web.ornl.gov/sci/buildings/conf-archive/2007%20B10%20papers/092_Baylon.pdf</v>
      </c>
      <c r="E78" s="556">
        <f>'Below Grade Walls &amp; Slabs'!J187</f>
        <v>3.7999999999999999E-2</v>
      </c>
      <c r="F78" s="556">
        <f>'Below Grade Walls &amp; Slabs'!K187</f>
        <v>0.33100000000000002</v>
      </c>
      <c r="G78" s="26" t="str">
        <f>'Below Grade Walls &amp; Slabs'!E187</f>
        <v>Added 2020 from reference</v>
      </c>
    </row>
    <row r="79" spans="1:15" ht="14.1" customHeight="1">
      <c r="A79" s="25">
        <f t="shared" si="0"/>
        <v>74</v>
      </c>
      <c r="B79" s="870" t="s">
        <v>2938</v>
      </c>
      <c r="C79" s="26" t="str">
        <f>'Below Grade Walls &amp; Slabs'!I188</f>
        <v>R21 Batt, 3.5' depth</v>
      </c>
      <c r="D79" s="947" t="str">
        <f>'Below Grade Walls &amp; Slabs'!D188</f>
        <v>WSU</v>
      </c>
      <c r="E79" s="556">
        <f>'Below Grade Walls &amp; Slabs'!J188</f>
        <v>3.7999999999999999E-2</v>
      </c>
      <c r="F79" s="556">
        <f>'Below Grade Walls &amp; Slabs'!K188</f>
        <v>0.63</v>
      </c>
      <c r="G79" s="26" t="str">
        <f>'Below Grade Walls &amp; Slabs'!E188</f>
        <v>Updated to WSEC 2018</v>
      </c>
    </row>
    <row r="80" spans="1:15" ht="14.1" customHeight="1">
      <c r="A80" s="25">
        <f t="shared" si="0"/>
        <v>75</v>
      </c>
      <c r="B80" s="870" t="s">
        <v>2938</v>
      </c>
      <c r="C80" s="26" t="str">
        <f>'Below Grade Walls &amp; Slabs'!I189</f>
        <v>R21 Batt w/TB, 3.5' depth</v>
      </c>
      <c r="D80" s="947" t="str">
        <f>'Below Grade Walls &amp; Slabs'!D189</f>
        <v>WSU</v>
      </c>
      <c r="E80" s="556">
        <f>'Below Grade Walls &amp; Slabs'!J189</f>
        <v>0.04</v>
      </c>
      <c r="F80" s="556">
        <f>'Below Grade Walls &amp; Slabs'!K189</f>
        <v>0.56000000000000005</v>
      </c>
      <c r="G80" s="26" t="str">
        <f>'Below Grade Walls &amp; Slabs'!E189</f>
        <v>Updated to WSEC 2018</v>
      </c>
    </row>
    <row r="81" spans="1:7" ht="14.1" customHeight="1">
      <c r="A81" s="25">
        <f t="shared" si="0"/>
        <v>76</v>
      </c>
      <c r="B81" s="870" t="s">
        <v>2938</v>
      </c>
      <c r="C81" s="26" t="str">
        <f>'Below Grade Walls &amp; Slabs'!I190</f>
        <v>R21 Batt + R5 ci, 3.5' depth</v>
      </c>
      <c r="D81" s="947" t="str">
        <f>'Below Grade Walls &amp; Slabs'!D190</f>
        <v>10-1</v>
      </c>
      <c r="E81" s="556">
        <f>'Below Grade Walls &amp; Slabs'!J190</f>
        <v>0.03</v>
      </c>
      <c r="F81" s="556">
        <f>'Below Grade Walls &amp; Slabs'!K190</f>
        <v>0.63200000000000001</v>
      </c>
      <c r="G81" s="26" t="str">
        <f>'Below Grade Walls &amp; Slabs'!E190</f>
        <v>Added in  WSEC 2018</v>
      </c>
    </row>
    <row r="82" spans="1:7" ht="14.1" customHeight="1">
      <c r="A82" s="25">
        <f t="shared" si="0"/>
        <v>77</v>
      </c>
      <c r="B82" s="870" t="s">
        <v>2938</v>
      </c>
      <c r="C82" s="26" t="str">
        <f>'Below Grade Walls &amp; Slabs'!I191</f>
        <v>R21 Batt + R5 ci w/TB, 3.5' depth</v>
      </c>
      <c r="D82" s="947" t="str">
        <f>'Below Grade Walls &amp; Slabs'!D191</f>
        <v>10-1</v>
      </c>
      <c r="E82" s="556">
        <f>'Below Grade Walls &amp; Slabs'!J191</f>
        <v>3.1E-2</v>
      </c>
      <c r="F82" s="556">
        <f>'Below Grade Walls &amp; Slabs'!K191</f>
        <v>0.56000000000000005</v>
      </c>
      <c r="G82" s="26" t="str">
        <f>'Below Grade Walls &amp; Slabs'!E191</f>
        <v>Added in  WSEC 2018</v>
      </c>
    </row>
    <row r="83" spans="1:7" ht="14.1" customHeight="1">
      <c r="A83" s="25">
        <f t="shared" si="0"/>
        <v>78</v>
      </c>
      <c r="B83" s="870" t="s">
        <v>2938</v>
      </c>
      <c r="C83" s="26" t="str">
        <f>'Below Grade Walls &amp; Slabs'!I192</f>
        <v>R21 Batt + R7 ci, 3.5' depth</v>
      </c>
      <c r="D83" s="947" t="str">
        <f>'Below Grade Walls &amp; Slabs'!D192</f>
        <v>10-1</v>
      </c>
      <c r="E83" s="556">
        <f>'Below Grade Walls &amp; Slabs'!J192</f>
        <v>2.7E-2</v>
      </c>
      <c r="F83" s="556">
        <f>'Below Grade Walls &amp; Slabs'!K192</f>
        <v>0.63</v>
      </c>
      <c r="G83" s="26" t="str">
        <f>'Below Grade Walls &amp; Slabs'!E192</f>
        <v>Added in  WSEC 2018</v>
      </c>
    </row>
    <row r="84" spans="1:7" ht="14.1" customHeight="1">
      <c r="A84" s="25">
        <f t="shared" si="0"/>
        <v>79</v>
      </c>
      <c r="B84" s="870" t="s">
        <v>2938</v>
      </c>
      <c r="C84" s="26" t="str">
        <f>'Below Grade Walls &amp; Slabs'!I193</f>
        <v>R21 Batt + R7 ci w/TB, 3.5' depth</v>
      </c>
      <c r="D84" s="947" t="str">
        <f>'Below Grade Walls &amp; Slabs'!D193</f>
        <v>10-1</v>
      </c>
      <c r="E84" s="556">
        <f>'Below Grade Walls &amp; Slabs'!J193</f>
        <v>2.9000000000000001E-2</v>
      </c>
      <c r="F84" s="556">
        <f>'Below Grade Walls &amp; Slabs'!K193</f>
        <v>0.56000000000000005</v>
      </c>
      <c r="G84" s="26" t="str">
        <f>'Below Grade Walls &amp; Slabs'!E193</f>
        <v>Added in  WSEC 2018</v>
      </c>
    </row>
    <row r="85" spans="1:7" ht="14.1" customHeight="1">
      <c r="A85" s="25">
        <f t="shared" si="0"/>
        <v>80</v>
      </c>
      <c r="B85" s="870" t="s">
        <v>2938</v>
      </c>
      <c r="C85" s="26" t="str">
        <f>'Below Grade Walls &amp; Slabs'!I194</f>
        <v>R21 Batt + R5 ci R10 Fully Underslab, 3.5' depth</v>
      </c>
      <c r="D85" s="947" t="str">
        <f>'Below Grade Walls &amp; Slabs'!D194</f>
        <v>Baylon &amp; Kennedy, https://web.ornl.gov/sci/buildings/conf-archive/2007%20B10%20papers/092_Baylon.pdf</v>
      </c>
      <c r="E85" s="556">
        <f>'Below Grade Walls &amp; Slabs'!J194</f>
        <v>3.2000000000000001E-2</v>
      </c>
      <c r="F85" s="556">
        <f>'Below Grade Walls &amp; Slabs'!K194</f>
        <v>0.33300000000000002</v>
      </c>
      <c r="G85" s="26" t="str">
        <f>'Below Grade Walls &amp; Slabs'!E194</f>
        <v>Added 2020 from reference</v>
      </c>
    </row>
    <row r="86" spans="1:7" ht="13.5" customHeight="1">
      <c r="A86" s="25">
        <f t="shared" si="0"/>
        <v>81</v>
      </c>
      <c r="B86" s="870" t="s">
        <v>2938</v>
      </c>
      <c r="C86" s="26" t="str">
        <f>'Below Grade Walls &amp; Slabs'!I195</f>
        <v>R25 Batt w/TB, 3.5' depth</v>
      </c>
      <c r="D86" s="947" t="str">
        <f>'Below Grade Walls &amp; Slabs'!D195</f>
        <v>Baylon &amp; Kennedy, https://web.ornl.gov/sci/buildings/conf-archive/2007%20B10%20papers/092_Baylon.pdf</v>
      </c>
      <c r="E86" s="556">
        <f>'Below Grade Walls &amp; Slabs'!J195</f>
        <v>3.5999999999999997E-2</v>
      </c>
      <c r="F86" s="556">
        <f>'Below Grade Walls &amp; Slabs'!K195</f>
        <v>0.55700000000000005</v>
      </c>
      <c r="G86" s="26" t="str">
        <f>'Below Grade Walls &amp; Slabs'!E195</f>
        <v>Added 2020 from reference</v>
      </c>
    </row>
    <row r="87" spans="1:7" ht="13.5" customHeight="1">
      <c r="A87" s="25">
        <f t="shared" si="0"/>
        <v>82</v>
      </c>
      <c r="B87" s="870" t="s">
        <v>2938</v>
      </c>
      <c r="C87" s="26" t="str">
        <f>'Below Grade Walls &amp; Slabs'!I196</f>
        <v>R25 Batt w/TB, R10 Full Underslab, 3.5' depth</v>
      </c>
      <c r="D87" s="947" t="str">
        <f>'Below Grade Walls &amp; Slabs'!D196</f>
        <v>Baylon &amp; Kennedy, https://web.ornl.gov/sci/buildings/conf-archive/2007%20B10%20papers/092_Baylon.pdf</v>
      </c>
      <c r="E87" s="556">
        <f>'Below Grade Walls &amp; Slabs'!J196</f>
        <v>3.7999999999999999E-2</v>
      </c>
      <c r="F87" s="556">
        <f>'Below Grade Walls &amp; Slabs'!K196</f>
        <v>0.33100000000000002</v>
      </c>
      <c r="G87" s="26" t="str">
        <f>'Below Grade Walls &amp; Slabs'!E196</f>
        <v>Added 2020 from reference</v>
      </c>
    </row>
    <row r="88" spans="1:7" ht="14.1" customHeight="1">
      <c r="A88" s="25">
        <f t="shared" si="0"/>
        <v>83</v>
      </c>
      <c r="B88" s="948" t="s">
        <v>2939</v>
      </c>
      <c r="C88" s="949" t="str">
        <f>'Below Grade Walls &amp; Slabs'!L167</f>
        <v>R0  Uninsulated, 7' depth</v>
      </c>
      <c r="D88" s="950" t="str">
        <f>'Below Grade Walls &amp; Slabs'!D167</f>
        <v>10-1</v>
      </c>
      <c r="E88" s="951">
        <f>'Below Grade Walls &amp; Slabs'!M167</f>
        <v>0.185</v>
      </c>
      <c r="F88" s="951">
        <f>'Below Grade Walls &amp; Slabs'!N167</f>
        <v>0.43</v>
      </c>
      <c r="G88" s="949" t="str">
        <f>'Below Grade Walls &amp; Slabs'!E167</f>
        <v>Updated to WSEC 2018</v>
      </c>
    </row>
    <row r="89" spans="1:7" ht="14.1" customHeight="1">
      <c r="A89" s="25">
        <f t="shared" si="0"/>
        <v>84</v>
      </c>
      <c r="B89" s="874" t="s">
        <v>2939</v>
      </c>
      <c r="C89" s="875" t="str">
        <f>'Below Grade Walls &amp; Slabs'!L168</f>
        <v>R10 Foam Ext, 7' depth</v>
      </c>
      <c r="D89" s="952" t="str">
        <f>'Below Grade Walls &amp; Slabs'!D168</f>
        <v>10-1</v>
      </c>
      <c r="E89" s="877">
        <f>'Below Grade Walls &amp; Slabs'!M168</f>
        <v>5.8000000000000003E-2</v>
      </c>
      <c r="F89" s="877">
        <f>'Below Grade Walls &amp; Slabs'!N168</f>
        <v>0.47</v>
      </c>
      <c r="G89" s="875" t="str">
        <f>'Below Grade Walls &amp; Slabs'!E168</f>
        <v>Updated to WSEC 2018</v>
      </c>
    </row>
    <row r="90" spans="1:7" ht="14.1" customHeight="1">
      <c r="B90" s="874" t="s">
        <v>2939</v>
      </c>
      <c r="C90" s="875" t="str">
        <f>'Below Grade Walls &amp; Slabs'!L169</f>
        <v>R10 Foam Ext w/TB, R10 Full Underslab, 7' depth</v>
      </c>
      <c r="D90" s="952" t="str">
        <f>'Below Grade Walls &amp; Slabs'!D169</f>
        <v>Baylon &amp; Kennedy, https://web.ornl.gov/sci/buildings/conf-archive/2007%20B10%20papers/092_Baylon.pdf</v>
      </c>
      <c r="E90" s="877">
        <f>'Below Grade Walls &amp; Slabs'!M169</f>
        <v>5.5E-2</v>
      </c>
      <c r="F90" s="877">
        <f>'Below Grade Walls &amp; Slabs'!N169</f>
        <v>0.29299999999999998</v>
      </c>
      <c r="G90" s="875" t="str">
        <f>'Below Grade Walls &amp; Slabs'!E169</f>
        <v>Added 2020</v>
      </c>
    </row>
    <row r="91" spans="1:7" ht="14.1" customHeight="1">
      <c r="A91" s="25">
        <f>A89+1</f>
        <v>85</v>
      </c>
      <c r="B91" s="874" t="s">
        <v>2939</v>
      </c>
      <c r="C91" s="875" t="str">
        <f>'Below Grade Walls &amp; Slabs'!L170</f>
        <v>R11 Batt, 7' depth</v>
      </c>
      <c r="D91" s="952" t="str">
        <f>'Below Grade Walls &amp; Slabs'!D170</f>
        <v>10-1</v>
      </c>
      <c r="E91" s="877">
        <f>'Below Grade Walls &amp; Slabs'!M170</f>
        <v>5.0999999999999997E-2</v>
      </c>
      <c r="F91" s="877">
        <f>'Below Grade Walls &amp; Slabs'!N170</f>
        <v>0.54100000000000004</v>
      </c>
      <c r="G91" s="875" t="str">
        <f>'Below Grade Walls &amp; Slabs'!E170</f>
        <v>Updated to WSEC 2018</v>
      </c>
    </row>
    <row r="92" spans="1:7" ht="14.1" customHeight="1">
      <c r="A92" s="25">
        <f t="shared" si="0"/>
        <v>86</v>
      </c>
      <c r="B92" s="874" t="s">
        <v>2939</v>
      </c>
      <c r="C92" s="875" t="str">
        <f>'Below Grade Walls &amp; Slabs'!L171</f>
        <v>R11 Batt w/TB, 7' depth</v>
      </c>
      <c r="D92" s="952" t="str">
        <f>'Below Grade Walls &amp; Slabs'!D171</f>
        <v>10-1</v>
      </c>
      <c r="E92" s="877">
        <f>'Below Grade Walls &amp; Slabs'!M171</f>
        <v>5.2999999999999999E-2</v>
      </c>
      <c r="F92" s="877">
        <f>'Below Grade Walls &amp; Slabs'!N171</f>
        <v>0.49</v>
      </c>
      <c r="G92" s="875" t="str">
        <f>'Below Grade Walls &amp; Slabs'!E171</f>
        <v>Updated to WSEC 2018</v>
      </c>
    </row>
    <row r="93" spans="1:7" ht="14.1" customHeight="1">
      <c r="A93" s="25">
        <f t="shared" si="0"/>
        <v>87</v>
      </c>
      <c r="B93" s="874" t="s">
        <v>2939</v>
      </c>
      <c r="C93" s="875" t="str">
        <f>'Below Grade Walls &amp; Slabs'!L172</f>
        <v>R11 Batt + R5 ci, 7' depth</v>
      </c>
      <c r="D93" s="952" t="str">
        <f>'Below Grade Walls &amp; Slabs'!D172</f>
        <v>Baylon &amp; Kennedy, https://web.ornl.gov/sci/buildings/conf-archive/2007%20B10%20papers/092_Baylon.pdf</v>
      </c>
      <c r="E93" s="877">
        <f>'Below Grade Walls &amp; Slabs'!M172</f>
        <v>3.6999999999999998E-2</v>
      </c>
      <c r="F93" s="877">
        <f>'Below Grade Walls &amp; Slabs'!N172</f>
        <v>0.55300000000000005</v>
      </c>
      <c r="G93" s="875" t="str">
        <f>'Below Grade Walls &amp; Slabs'!E172</f>
        <v>Added 2023 from reference</v>
      </c>
    </row>
    <row r="94" spans="1:7" ht="14.1" customHeight="1">
      <c r="A94" s="25">
        <f t="shared" si="0"/>
        <v>88</v>
      </c>
      <c r="B94" s="874" t="s">
        <v>2939</v>
      </c>
      <c r="C94" s="875" t="str">
        <f>'Below Grade Walls &amp; Slabs'!L173</f>
        <v>R11 Batt + R5 ci w/TB, 7' depth</v>
      </c>
      <c r="D94" s="952" t="str">
        <f>'Below Grade Walls &amp; Slabs'!D173</f>
        <v>Baylon &amp; Kennedy, https://web.ornl.gov/sci/buildings/conf-archive/2007%20B10%20papers/092_Baylon.pdf</v>
      </c>
      <c r="E94" s="877">
        <f>'Below Grade Walls &amp; Slabs'!M173</f>
        <v>3.7999999999999999E-2</v>
      </c>
      <c r="F94" s="877">
        <f>'Below Grade Walls &amp; Slabs'!N173</f>
        <v>0.499</v>
      </c>
      <c r="G94" s="875" t="str">
        <f>'Below Grade Walls &amp; Slabs'!E173</f>
        <v>Added 2020 from reference</v>
      </c>
    </row>
    <row r="95" spans="1:7" ht="14.1" customHeight="1">
      <c r="A95" s="25">
        <f t="shared" si="0"/>
        <v>89</v>
      </c>
      <c r="B95" s="874" t="s">
        <v>2939</v>
      </c>
      <c r="C95" s="875" t="str">
        <f>'Below Grade Walls &amp; Slabs'!L174</f>
        <v>R11 Batt + R5 ci R10 Fully Underslab, 7' depth</v>
      </c>
      <c r="D95" s="952" t="str">
        <f>'Below Grade Walls &amp; Slabs'!D174</f>
        <v>Baylon &amp; Kennedy, https://web.ornl.gov/sci/buildings/conf-archive/2007%20B10%20papers/092_Baylon.pdf</v>
      </c>
      <c r="E95" s="877">
        <f>'Below Grade Walls &amp; Slabs'!M174</f>
        <v>0.04</v>
      </c>
      <c r="F95" s="877">
        <f>'Below Grade Walls &amp; Slabs'!N174</f>
        <v>0.30099999999999999</v>
      </c>
      <c r="G95" s="875" t="str">
        <f>'Below Grade Walls &amp; Slabs'!E174</f>
        <v>Added 2020 from reference</v>
      </c>
    </row>
    <row r="96" spans="1:7" ht="14.1" customHeight="1">
      <c r="A96" s="25">
        <f t="shared" si="0"/>
        <v>90</v>
      </c>
      <c r="B96" s="874" t="s">
        <v>2939</v>
      </c>
      <c r="C96" s="875" t="str">
        <f>'Below Grade Walls &amp; Slabs'!L175</f>
        <v>R12 Foam Ext, 7' depth</v>
      </c>
      <c r="D96" s="952" t="str">
        <f>'Below Grade Walls &amp; Slabs'!D175</f>
        <v>10-1</v>
      </c>
      <c r="E96" s="877">
        <f>'Below Grade Walls &amp; Slabs'!M175</f>
        <v>0.05</v>
      </c>
      <c r="F96" s="877">
        <f>'Below Grade Walls &amp; Slabs'!N175</f>
        <v>0.42</v>
      </c>
      <c r="G96" s="875" t="str">
        <f>'Below Grade Walls &amp; Slabs'!E175</f>
        <v>Updated to WSEC 2018</v>
      </c>
    </row>
    <row r="97" spans="1:7" ht="14.1" customHeight="1">
      <c r="A97" s="25">
        <f t="shared" si="0"/>
        <v>91</v>
      </c>
      <c r="B97" s="874" t="s">
        <v>2939</v>
      </c>
      <c r="C97" s="875" t="str">
        <f>'Below Grade Walls &amp; Slabs'!L176</f>
        <v>R13 Batt, 7' depth</v>
      </c>
      <c r="D97" s="952" t="str">
        <f>'Below Grade Walls &amp; Slabs'!D176</f>
        <v>WSU</v>
      </c>
      <c r="E97" s="877">
        <f>'Below Grade Walls &amp; Slabs'!M176</f>
        <v>4.6004999999999997E-2</v>
      </c>
      <c r="F97" s="877">
        <f>'Below Grade Walls &amp; Slabs'!N176</f>
        <v>0.54066700000000001</v>
      </c>
      <c r="G97" s="875" t="str">
        <f>'Below Grade Walls &amp; Slabs'!E176</f>
        <v>Interpolated between R11 and R19</v>
      </c>
    </row>
    <row r="98" spans="1:7" ht="14.1" customHeight="1">
      <c r="A98" s="25">
        <f t="shared" si="0"/>
        <v>92</v>
      </c>
      <c r="B98" s="874" t="s">
        <v>2939</v>
      </c>
      <c r="C98" s="875" t="str">
        <f>'Below Grade Walls &amp; Slabs'!L177</f>
        <v>R13 Batt w/TB , 7' depth</v>
      </c>
      <c r="D98" s="952" t="str">
        <f>'Below Grade Walls &amp; Slabs'!D177</f>
        <v>WSU</v>
      </c>
      <c r="E98" s="877">
        <f>'Below Grade Walls &amp; Slabs'!M177</f>
        <v>4.7671999999999999E-2</v>
      </c>
      <c r="F98" s="877">
        <f>'Below Grade Walls &amp; Slabs'!N177</f>
        <v>0.49333000000000005</v>
      </c>
      <c r="G98" s="875" t="str">
        <f>'Below Grade Walls &amp; Slabs'!E177</f>
        <v>Interpolated between R11 and R19</v>
      </c>
    </row>
    <row r="99" spans="1:7" ht="14.1" customHeight="1">
      <c r="A99" s="25">
        <f t="shared" si="0"/>
        <v>93</v>
      </c>
      <c r="B99" s="874" t="s">
        <v>2939</v>
      </c>
      <c r="C99" s="875" t="str">
        <f>'Below Grade Walls &amp; Slabs'!L178</f>
        <v>R13 Batt + R5 ci, 7' depth</v>
      </c>
      <c r="D99" s="952" t="str">
        <f>'Below Grade Walls &amp; Slabs'!D178</f>
        <v>WSU</v>
      </c>
      <c r="E99" s="877">
        <f>'Below Grade Walls &amp; Slabs'!M178</f>
        <v>3.4002999999999999E-2</v>
      </c>
      <c r="F99" s="877">
        <f>'Below Grade Walls &amp; Slabs'!N178</f>
        <v>0.55632999999999999</v>
      </c>
      <c r="G99" s="875" t="str">
        <f>'Below Grade Walls &amp; Slabs'!E178</f>
        <v>Interpolated between R11 and R19</v>
      </c>
    </row>
    <row r="100" spans="1:7" ht="14.1" customHeight="1">
      <c r="A100" s="25">
        <f t="shared" si="0"/>
        <v>94</v>
      </c>
      <c r="B100" s="874" t="s">
        <v>2939</v>
      </c>
      <c r="C100" s="875" t="str">
        <f>'Below Grade Walls &amp; Slabs'!L179</f>
        <v>R13 Batt + R5 ci R10 Fully Underslab, 7' depth</v>
      </c>
      <c r="D100" s="952" t="str">
        <f>'Below Grade Walls &amp; Slabs'!D179</f>
        <v>WSU</v>
      </c>
      <c r="E100" s="877">
        <f>'Below Grade Walls &amp; Slabs'!M179</f>
        <v>3.7003000000000001E-2</v>
      </c>
      <c r="F100" s="877">
        <f>'Below Grade Walls &amp; Slabs'!N179</f>
        <v>0.30299799999999999</v>
      </c>
      <c r="G100" s="875" t="str">
        <f>'Below Grade Walls &amp; Slabs'!E179</f>
        <v>Interpolated between R11 and R19</v>
      </c>
    </row>
    <row r="101" spans="1:7" ht="14.1" customHeight="1">
      <c r="B101" s="874" t="s">
        <v>2939</v>
      </c>
      <c r="C101" s="875" t="str">
        <f>'Below Grade Walls &amp; Slabs'!L180</f>
        <v>R15 Batt, 7' depth</v>
      </c>
      <c r="D101" s="952" t="str">
        <f>'Below Grade Walls &amp; Slabs'!D180</f>
        <v>WSU</v>
      </c>
      <c r="E101" s="877">
        <f>'Below Grade Walls &amp; Slabs'!M180</f>
        <v>4.3499999999999997E-2</v>
      </c>
      <c r="F101" s="877">
        <f>'Below Grade Walls &amp; Slabs'!N180</f>
        <v>0.54049999999999998</v>
      </c>
      <c r="G101" s="875" t="str">
        <f>'Below Grade Walls &amp; Slabs'!E180</f>
        <v>Interpolated between R11 and R19</v>
      </c>
    </row>
    <row r="102" spans="1:7" ht="14.1" customHeight="1">
      <c r="A102" s="25">
        <f>A100+1</f>
        <v>95</v>
      </c>
      <c r="B102" s="874" t="s">
        <v>2939</v>
      </c>
      <c r="C102" s="875" t="str">
        <f>'Below Grade Walls &amp; Slabs'!L181</f>
        <v>R15 Batt w/TB, 7' depth</v>
      </c>
      <c r="D102" s="952" t="str">
        <f>'Below Grade Walls &amp; Slabs'!D181</f>
        <v>WSU</v>
      </c>
      <c r="E102" s="877">
        <f>'Below Grade Walls &amp; Slabs'!M181</f>
        <v>4.4999999999999998E-2</v>
      </c>
      <c r="F102" s="877">
        <f>'Below Grade Walls &amp; Slabs'!N181</f>
        <v>0.495</v>
      </c>
      <c r="G102" s="875" t="str">
        <f>'Below Grade Walls &amp; Slabs'!E181</f>
        <v>Interpolated between R11 and R19</v>
      </c>
    </row>
    <row r="103" spans="1:7" ht="14.1" customHeight="1">
      <c r="A103" s="25">
        <f t="shared" si="0"/>
        <v>96</v>
      </c>
      <c r="B103" s="874" t="s">
        <v>2939</v>
      </c>
      <c r="C103" s="875" t="str">
        <f>'Below Grade Walls &amp; Slabs'!L182</f>
        <v>R19 Batt, 7' depth</v>
      </c>
      <c r="D103" s="952" t="str">
        <f>'Below Grade Walls &amp; Slabs'!D182</f>
        <v>10-1</v>
      </c>
      <c r="E103" s="877">
        <f>'Below Grade Walls &amp; Slabs'!M182</f>
        <v>3.5999999999999997E-2</v>
      </c>
      <c r="F103" s="877">
        <f>'Below Grade Walls &amp; Slabs'!N182</f>
        <v>0.54</v>
      </c>
      <c r="G103" s="875" t="str">
        <f>'Below Grade Walls &amp; Slabs'!E182</f>
        <v>Updated to WSEC 2018</v>
      </c>
    </row>
    <row r="104" spans="1:7" ht="14.1" customHeight="1">
      <c r="A104" s="25">
        <f t="shared" si="0"/>
        <v>97</v>
      </c>
      <c r="B104" s="874" t="s">
        <v>2939</v>
      </c>
      <c r="C104" s="875" t="str">
        <f>'Below Grade Walls &amp; Slabs'!L183</f>
        <v>R19 Batt w/TB, 7' depth</v>
      </c>
      <c r="D104" s="952" t="str">
        <f>'Below Grade Walls &amp; Slabs'!D183</f>
        <v>10-1</v>
      </c>
      <c r="E104" s="877">
        <f>'Below Grade Walls &amp; Slabs'!M183</f>
        <v>3.6999999999999998E-2</v>
      </c>
      <c r="F104" s="877">
        <f>'Below Grade Walls &amp; Slabs'!N183</f>
        <v>0.5</v>
      </c>
      <c r="G104" s="875" t="str">
        <f>'Below Grade Walls &amp; Slabs'!E183</f>
        <v>Updated to WSEC 2018</v>
      </c>
    </row>
    <row r="105" spans="1:7" ht="14.1" customHeight="1">
      <c r="A105" s="25">
        <f t="shared" si="0"/>
        <v>98</v>
      </c>
      <c r="B105" s="874" t="s">
        <v>2939</v>
      </c>
      <c r="C105" s="875" t="str">
        <f>'Below Grade Walls &amp; Slabs'!L184</f>
        <v>R19 Batt + R5 ci, 7' depth</v>
      </c>
      <c r="D105" s="952" t="str">
        <f>'Below Grade Walls &amp; Slabs'!D184</f>
        <v>Baylon &amp; Kennedy, https://web.ornl.gov/sci/buildings/conf-archive/2007%20B10%20papers/092_Baylon.pdf</v>
      </c>
      <c r="E105" s="877">
        <f>'Below Grade Walls &amp; Slabs'!M184</f>
        <v>2.8000000000000001E-2</v>
      </c>
      <c r="F105" s="877">
        <f>'Below Grade Walls &amp; Slabs'!N184</f>
        <v>0.56299999999999994</v>
      </c>
      <c r="G105" s="875" t="str">
        <f>'Below Grade Walls &amp; Slabs'!E184</f>
        <v>Added 2023 from reference</v>
      </c>
    </row>
    <row r="106" spans="1:7" ht="14.1" customHeight="1">
      <c r="A106" s="25">
        <f t="shared" si="0"/>
        <v>99</v>
      </c>
      <c r="B106" s="874" t="s">
        <v>2939</v>
      </c>
      <c r="C106" s="875" t="str">
        <f>'Below Grade Walls &amp; Slabs'!L185</f>
        <v>R19 Batt + R5 ci w/TB, 7' depth</v>
      </c>
      <c r="D106" s="952" t="str">
        <f>'Below Grade Walls &amp; Slabs'!D185</f>
        <v>Baylon &amp; Kennedy, https://web.ornl.gov/sci/buildings/conf-archive/2007%20B10%20papers/092_Baylon.pdf</v>
      </c>
      <c r="E106" s="877">
        <f>'Below Grade Walls &amp; Slabs'!M185</f>
        <v>2.9000000000000001E-2</v>
      </c>
      <c r="F106" s="877">
        <f>'Below Grade Walls &amp; Slabs'!N185</f>
        <v>0.50700000000000001</v>
      </c>
      <c r="G106" s="875" t="str">
        <f>'Below Grade Walls &amp; Slabs'!E185</f>
        <v>Added 2023 from reference</v>
      </c>
    </row>
    <row r="107" spans="1:7" ht="14.1" customHeight="1">
      <c r="A107" s="25">
        <f t="shared" si="0"/>
        <v>100</v>
      </c>
      <c r="B107" s="874" t="s">
        <v>2939</v>
      </c>
      <c r="C107" s="875" t="str">
        <f>'Below Grade Walls &amp; Slabs'!L186</f>
        <v>R19 Batt + R5 ci R10 Fully Underslab, 7' depth</v>
      </c>
      <c r="D107" s="952" t="str">
        <f>'Below Grade Walls &amp; Slabs'!D186</f>
        <v>Baylon &amp; Kennedy, https://web.ornl.gov/sci/buildings/conf-archive/2007%20B10%20papers/092_Baylon.pdf</v>
      </c>
      <c r="E107" s="877">
        <f>'Below Grade Walls &amp; Slabs'!M186</f>
        <v>3.1E-2</v>
      </c>
      <c r="F107" s="877">
        <f>'Below Grade Walls &amp; Slabs'!N186</f>
        <v>0.307</v>
      </c>
      <c r="G107" s="875" t="str">
        <f>'Below Grade Walls &amp; Slabs'!E186</f>
        <v>Added 2023 from reference</v>
      </c>
    </row>
    <row r="108" spans="1:7" ht="14.1" customHeight="1">
      <c r="B108" s="874" t="s">
        <v>2939</v>
      </c>
      <c r="C108" s="875" t="str">
        <f>'Below Grade Walls &amp; Slabs'!L187</f>
        <v>R20 Foam Ext w/TB, R10 Full Underslab, 7' depth</v>
      </c>
      <c r="D108" s="952" t="str">
        <f>'Below Grade Walls &amp; Slabs'!D187</f>
        <v>Baylon &amp; Kennedy, https://web.ornl.gov/sci/buildings/conf-archive/2007%20B10%20papers/092_Baylon.pdf</v>
      </c>
      <c r="E108" s="877">
        <f>'Below Grade Walls &amp; Slabs'!M187</f>
        <v>3.4000000000000002E-2</v>
      </c>
      <c r="F108" s="877">
        <f>'Below Grade Walls &amp; Slabs'!N187</f>
        <v>0.30399999999999999</v>
      </c>
      <c r="G108" s="875" t="str">
        <f>'Below Grade Walls &amp; Slabs'!E187</f>
        <v>Added 2020 from reference</v>
      </c>
    </row>
    <row r="109" spans="1:7" ht="14.1" customHeight="1">
      <c r="A109" s="25">
        <f>A107+1</f>
        <v>101</v>
      </c>
      <c r="B109" s="874" t="s">
        <v>2939</v>
      </c>
      <c r="C109" s="875" t="str">
        <f>'Below Grade Walls &amp; Slabs'!L188</f>
        <v>R21 Batt, 7' depth</v>
      </c>
      <c r="D109" s="952" t="str">
        <f>'Below Grade Walls &amp; Slabs'!D188</f>
        <v>WSU</v>
      </c>
      <c r="E109" s="877">
        <f>'Below Grade Walls &amp; Slabs'!M188</f>
        <v>3.5000000000000003E-2</v>
      </c>
      <c r="F109" s="877">
        <f>'Below Grade Walls &amp; Slabs'!N188</f>
        <v>0.56000000000000005</v>
      </c>
      <c r="G109" s="875" t="str">
        <f>'Below Grade Walls &amp; Slabs'!E188</f>
        <v>Updated to WSEC 2018</v>
      </c>
    </row>
    <row r="110" spans="1:7" ht="14.1" customHeight="1">
      <c r="A110" s="25">
        <f t="shared" si="0"/>
        <v>102</v>
      </c>
      <c r="B110" s="874" t="s">
        <v>2939</v>
      </c>
      <c r="C110" s="875" t="str">
        <f>'Below Grade Walls &amp; Slabs'!L189</f>
        <v>R21 Batt w/TB, 7' depth</v>
      </c>
      <c r="D110" s="952" t="str">
        <f>'Below Grade Walls &amp; Slabs'!D189</f>
        <v>WSU</v>
      </c>
      <c r="E110" s="877">
        <f>'Below Grade Walls &amp; Slabs'!M189</f>
        <v>3.5000000000000003E-2</v>
      </c>
      <c r="F110" s="877">
        <f>'Below Grade Walls &amp; Slabs'!N189</f>
        <v>0.5</v>
      </c>
      <c r="G110" s="875" t="str">
        <f>'Below Grade Walls &amp; Slabs'!E189</f>
        <v>Updated to WSEC 2018</v>
      </c>
    </row>
    <row r="111" spans="1:7" ht="14.1" customHeight="1">
      <c r="A111" s="25">
        <f t="shared" si="0"/>
        <v>103</v>
      </c>
      <c r="B111" s="874" t="s">
        <v>2939</v>
      </c>
      <c r="C111" s="875" t="str">
        <f>'Below Grade Walls &amp; Slabs'!L190</f>
        <v>R21 Batt + R5 ci, 7' depth</v>
      </c>
      <c r="D111" s="952" t="str">
        <f>'Below Grade Walls &amp; Slabs'!D190</f>
        <v>10-1</v>
      </c>
      <c r="E111" s="877">
        <f>'Below Grade Walls &amp; Slabs'!M190</f>
        <v>2.7E-2</v>
      </c>
      <c r="F111" s="877">
        <f>'Below Grade Walls &amp; Slabs'!N190</f>
        <v>0.56000000000000005</v>
      </c>
      <c r="G111" s="875" t="str">
        <f>'Below Grade Walls &amp; Slabs'!E190</f>
        <v>Added in  WSEC 2018</v>
      </c>
    </row>
    <row r="112" spans="1:7" ht="14.1" customHeight="1">
      <c r="A112" s="25">
        <f t="shared" si="0"/>
        <v>104</v>
      </c>
      <c r="B112" s="874" t="s">
        <v>2939</v>
      </c>
      <c r="C112" s="875" t="str">
        <f>'Below Grade Walls &amp; Slabs'!L191</f>
        <v>R21 Batt + R5 ci w/TB, 7' depth</v>
      </c>
      <c r="D112" s="952" t="str">
        <f>'Below Grade Walls &amp; Slabs'!D191</f>
        <v>10-1</v>
      </c>
      <c r="E112" s="877">
        <f>'Below Grade Walls &amp; Slabs'!M191</f>
        <v>2.8000000000000001E-2</v>
      </c>
      <c r="F112" s="877">
        <f>'Below Grade Walls &amp; Slabs'!N191</f>
        <v>0.51</v>
      </c>
      <c r="G112" s="875" t="str">
        <f>'Below Grade Walls &amp; Slabs'!E191</f>
        <v>Added in  WSEC 2018</v>
      </c>
    </row>
    <row r="113" spans="1:8" ht="14.1" customHeight="1">
      <c r="A113" s="25">
        <f t="shared" si="0"/>
        <v>105</v>
      </c>
      <c r="B113" s="874" t="s">
        <v>2939</v>
      </c>
      <c r="C113" s="875" t="str">
        <f>'Below Grade Walls &amp; Slabs'!L192</f>
        <v>R21 Batt + R7 ci, 7' depth</v>
      </c>
      <c r="D113" s="952" t="str">
        <f>'Below Grade Walls &amp; Slabs'!D192</f>
        <v>10-1</v>
      </c>
      <c r="E113" s="877">
        <f>'Below Grade Walls &amp; Slabs'!M192</f>
        <v>2.5000000000000001E-2</v>
      </c>
      <c r="F113" s="877">
        <f>'Below Grade Walls &amp; Slabs'!N192</f>
        <v>0.56999999999999995</v>
      </c>
      <c r="G113" s="875" t="str">
        <f>'Below Grade Walls &amp; Slabs'!E192</f>
        <v>Added in  WSEC 2018</v>
      </c>
    </row>
    <row r="114" spans="1:8" ht="14.1" customHeight="1">
      <c r="A114" s="25">
        <f t="shared" si="0"/>
        <v>106</v>
      </c>
      <c r="B114" s="874" t="s">
        <v>2939</v>
      </c>
      <c r="C114" s="875" t="str">
        <f>'Below Grade Walls &amp; Slabs'!L193</f>
        <v>R21 Batt + R7 ci w/TB, 7' depth</v>
      </c>
      <c r="D114" s="952" t="str">
        <f>'Below Grade Walls &amp; Slabs'!D193</f>
        <v>10-1</v>
      </c>
      <c r="E114" s="877">
        <f>'Below Grade Walls &amp; Slabs'!M193</f>
        <v>2.5999999999999999E-2</v>
      </c>
      <c r="F114" s="877">
        <f>'Below Grade Walls &amp; Slabs'!N193</f>
        <v>0.56999999999999995</v>
      </c>
      <c r="G114" s="875" t="str">
        <f>'Below Grade Walls &amp; Slabs'!E193</f>
        <v>Added in  WSEC 2018</v>
      </c>
    </row>
    <row r="115" spans="1:8" ht="14.1" customHeight="1">
      <c r="A115" s="25">
        <f t="shared" si="0"/>
        <v>107</v>
      </c>
      <c r="B115" s="874" t="s">
        <v>2939</v>
      </c>
      <c r="C115" s="875" t="str">
        <f>'Below Grade Walls &amp; Slabs'!L194</f>
        <v>R21 Batt + R5 ci R10 Fully Underslab, 7' depth</v>
      </c>
      <c r="D115" s="952" t="str">
        <f>'Below Grade Walls &amp; Slabs'!D194</f>
        <v>Baylon &amp; Kennedy, https://web.ornl.gov/sci/buildings/conf-archive/2007%20B10%20papers/092_Baylon.pdf</v>
      </c>
      <c r="E115" s="877">
        <f>'Below Grade Walls &amp; Slabs'!M194</f>
        <v>2.9000000000000001E-2</v>
      </c>
      <c r="F115" s="877">
        <f>'Below Grade Walls &amp; Slabs'!N194</f>
        <v>0.307</v>
      </c>
      <c r="G115" s="875" t="str">
        <f>'Below Grade Walls &amp; Slabs'!E194</f>
        <v>Added 2020 from reference</v>
      </c>
    </row>
    <row r="116" spans="1:8" ht="14.1" customHeight="1">
      <c r="A116" s="25">
        <f t="shared" si="0"/>
        <v>108</v>
      </c>
      <c r="B116" s="874" t="s">
        <v>2939</v>
      </c>
      <c r="C116" s="875" t="str">
        <f>'Below Grade Walls &amp; Slabs'!L195</f>
        <v>R25 Batt w/TB, 7' depth</v>
      </c>
      <c r="D116" s="952" t="str">
        <f>'Below Grade Walls &amp; Slabs'!D195</f>
        <v>Baylon &amp; Kennedy, https://web.ornl.gov/sci/buildings/conf-archive/2007%20B10%20papers/092_Baylon.pdf</v>
      </c>
      <c r="E116" s="877">
        <f>'Below Grade Walls &amp; Slabs'!M195</f>
        <v>3.2000000000000001E-2</v>
      </c>
      <c r="F116" s="877">
        <f>'Below Grade Walls &amp; Slabs'!N195</f>
        <v>0.505</v>
      </c>
      <c r="G116" s="875" t="str">
        <f>'Below Grade Walls &amp; Slabs'!E195</f>
        <v>Added 2020 from reference</v>
      </c>
    </row>
    <row r="117" spans="1:8" ht="14.1" customHeight="1">
      <c r="A117" s="25">
        <f t="shared" si="0"/>
        <v>109</v>
      </c>
      <c r="B117" s="874" t="s">
        <v>2939</v>
      </c>
      <c r="C117" s="875" t="str">
        <f>'Below Grade Walls &amp; Slabs'!L196</f>
        <v>R25 Batt w/TB, R10 Full Underslab, 7' depth</v>
      </c>
      <c r="D117" s="952" t="str">
        <f>'Below Grade Walls &amp; Slabs'!D196</f>
        <v>Baylon &amp; Kennedy, https://web.ornl.gov/sci/buildings/conf-archive/2007%20B10%20papers/092_Baylon.pdf</v>
      </c>
      <c r="E117" s="877">
        <f>'Below Grade Walls &amp; Slabs'!M196</f>
        <v>3.4000000000000002E-2</v>
      </c>
      <c r="F117" s="877">
        <f>'Below Grade Walls &amp; Slabs'!N196</f>
        <v>0.30399999999999999</v>
      </c>
      <c r="G117" s="875" t="str">
        <f>'Below Grade Walls &amp; Slabs'!E196</f>
        <v>Added 2020 from reference</v>
      </c>
    </row>
    <row r="118" spans="1:8" ht="14.1" customHeight="1">
      <c r="A118" s="25">
        <f t="shared" si="0"/>
        <v>110</v>
      </c>
      <c r="B118" s="874"/>
      <c r="C118" s="875"/>
      <c r="D118" s="952"/>
      <c r="E118" s="877"/>
      <c r="F118" s="877"/>
      <c r="G118" s="875"/>
    </row>
    <row r="119" spans="1:8" ht="43.5" customHeight="1">
      <c r="A119" s="25">
        <f>A118+1</f>
        <v>111</v>
      </c>
      <c r="B119" s="441" t="s">
        <v>2910</v>
      </c>
      <c r="C119" s="101" t="str">
        <f>'Flat-Vaulted Ceilings'!$B$339</f>
        <v xml:space="preserve">== Custom Entries per WSEC R402.1.5 U-factor Reference and Calculations ========  </v>
      </c>
      <c r="D119" s="156"/>
      <c r="E119" s="438" t="s">
        <v>606</v>
      </c>
      <c r="F119" s="441" t="s">
        <v>90</v>
      </c>
      <c r="G119" s="425" t="s">
        <v>2353</v>
      </c>
      <c r="H119" s="1055" t="str">
        <f>'Flat-Vaulted Ceilings'!$F$339</f>
        <v>Your entries appear at bottom of drowdown menus on "Group R" tab</v>
      </c>
    </row>
    <row r="120" spans="1:8" ht="14.1" customHeight="1">
      <c r="A120" s="25">
        <f t="shared" si="0"/>
        <v>112</v>
      </c>
      <c r="B120" s="39"/>
      <c r="C120" s="39"/>
      <c r="D120" s="43" t="s">
        <v>1679</v>
      </c>
      <c r="E120" s="29"/>
      <c r="F120" s="30"/>
      <c r="G120" s="442"/>
      <c r="H120" s="203" t="str">
        <f t="shared" ref="H120:H127" si="5">IF(AND(C121&lt;&gt;"",C120=""),"Don't skip lines",IF(AND(OR(F120="",E120=""),C120&lt;&gt;""),"Enter U- and F-values",IF(AND(OR(F120&lt;&gt;"",E120&lt;&gt;""),C120=""),"Enter Description","")))</f>
        <v/>
      </c>
    </row>
    <row r="121" spans="1:8" ht="14.1" customHeight="1">
      <c r="A121" s="25">
        <f t="shared" si="0"/>
        <v>113</v>
      </c>
      <c r="B121" s="39"/>
      <c r="C121" s="39"/>
      <c r="D121" s="43" t="s">
        <v>1679</v>
      </c>
      <c r="E121" s="29"/>
      <c r="F121" s="30"/>
      <c r="G121" s="442"/>
      <c r="H121" s="203" t="str">
        <f t="shared" si="5"/>
        <v/>
      </c>
    </row>
    <row r="122" spans="1:8" ht="14.1" customHeight="1">
      <c r="A122" s="25">
        <f t="shared" si="0"/>
        <v>114</v>
      </c>
      <c r="B122" s="39"/>
      <c r="C122" s="39"/>
      <c r="D122" s="43" t="s">
        <v>1679</v>
      </c>
      <c r="E122" s="29"/>
      <c r="F122" s="30"/>
      <c r="G122" s="442"/>
      <c r="H122" s="203" t="str">
        <f t="shared" si="5"/>
        <v/>
      </c>
    </row>
    <row r="123" spans="1:8" ht="14.1" customHeight="1">
      <c r="A123" s="25">
        <f t="shared" si="0"/>
        <v>115</v>
      </c>
      <c r="B123" s="39"/>
      <c r="C123" s="39"/>
      <c r="D123" s="43" t="s">
        <v>1679</v>
      </c>
      <c r="E123" s="29"/>
      <c r="F123" s="30"/>
      <c r="G123" s="442"/>
      <c r="H123" s="203" t="str">
        <f t="shared" si="5"/>
        <v/>
      </c>
    </row>
    <row r="124" spans="1:8" ht="14.1" customHeight="1">
      <c r="A124" s="25">
        <f t="shared" si="0"/>
        <v>116</v>
      </c>
      <c r="B124" s="39"/>
      <c r="C124" s="39"/>
      <c r="D124" s="43" t="s">
        <v>1679</v>
      </c>
      <c r="E124" s="29"/>
      <c r="F124" s="30"/>
      <c r="G124" s="442"/>
      <c r="H124" s="203" t="str">
        <f t="shared" si="5"/>
        <v/>
      </c>
    </row>
    <row r="125" spans="1:8" ht="14.1" customHeight="1">
      <c r="A125" s="25">
        <f t="shared" si="0"/>
        <v>117</v>
      </c>
      <c r="B125" s="39"/>
      <c r="C125" s="39"/>
      <c r="D125" s="43" t="s">
        <v>1679</v>
      </c>
      <c r="E125" s="29"/>
      <c r="F125" s="30"/>
      <c r="G125" s="442"/>
      <c r="H125" s="203" t="str">
        <f t="shared" si="5"/>
        <v/>
      </c>
    </row>
    <row r="126" spans="1:8" ht="14.1" customHeight="1">
      <c r="A126" s="25">
        <f t="shared" si="0"/>
        <v>118</v>
      </c>
      <c r="B126" s="39"/>
      <c r="C126" s="39"/>
      <c r="D126" s="43" t="s">
        <v>1679</v>
      </c>
      <c r="E126" s="29"/>
      <c r="F126" s="30"/>
      <c r="G126" s="442"/>
      <c r="H126" s="203" t="str">
        <f t="shared" si="5"/>
        <v/>
      </c>
    </row>
    <row r="127" spans="1:8" ht="14.1" customHeight="1">
      <c r="A127" s="25">
        <f t="shared" si="0"/>
        <v>119</v>
      </c>
      <c r="B127" s="39"/>
      <c r="C127" s="39"/>
      <c r="D127" s="43" t="s">
        <v>1679</v>
      </c>
      <c r="E127" s="29"/>
      <c r="F127" s="30"/>
      <c r="G127" s="442"/>
      <c r="H127" s="203" t="str">
        <f t="shared" si="5"/>
        <v/>
      </c>
    </row>
    <row r="150" spans="1:17" ht="14.1" customHeight="1">
      <c r="C150" s="25"/>
      <c r="D150" s="26"/>
      <c r="F150" s="27"/>
      <c r="G150" s="28"/>
    </row>
    <row r="151" spans="1:17" ht="14.1" customHeight="1">
      <c r="A151" s="898"/>
      <c r="B151" s="898"/>
      <c r="C151" s="902" t="s">
        <v>2944</v>
      </c>
      <c r="D151" s="898"/>
      <c r="E151" s="898"/>
      <c r="F151" s="899"/>
      <c r="G151" s="900"/>
      <c r="H151" s="901"/>
      <c r="I151" s="899"/>
      <c r="J151" s="899"/>
      <c r="K151" s="899"/>
      <c r="L151" s="899"/>
      <c r="M151" s="899"/>
      <c r="N151" s="899"/>
      <c r="O151" s="899"/>
      <c r="P151" s="899"/>
      <c r="Q151" s="899"/>
    </row>
    <row r="152" spans="1:17" ht="14.1" hidden="1" customHeight="1">
      <c r="A152" s="26"/>
      <c r="B152" s="26"/>
      <c r="C152" s="25"/>
      <c r="D152" s="26"/>
      <c r="F152" s="27"/>
      <c r="G152" s="28"/>
    </row>
    <row r="153" spans="1:17" ht="14.1" hidden="1" customHeight="1">
      <c r="C153" s="25"/>
      <c r="D153" s="26"/>
      <c r="F153" s="27"/>
      <c r="G153" s="28"/>
    </row>
    <row r="154" spans="1:17" ht="14.1" hidden="1" customHeight="1">
      <c r="C154" s="953" t="s">
        <v>2972</v>
      </c>
      <c r="D154" s="26"/>
      <c r="F154" s="27"/>
      <c r="G154" s="28"/>
    </row>
    <row r="155" spans="1:17" ht="14.1" hidden="1" customHeight="1">
      <c r="C155" s="25"/>
      <c r="D155" s="26"/>
      <c r="F155" s="27"/>
      <c r="G155" s="28"/>
    </row>
    <row r="156" spans="1:17" ht="14.1" hidden="1" customHeight="1">
      <c r="A156" s="524"/>
      <c r="B156" s="524"/>
      <c r="C156" s="889" t="s">
        <v>2940</v>
      </c>
      <c r="D156" s="890"/>
      <c r="E156" s="891"/>
      <c r="F156" s="881" t="s">
        <v>1401</v>
      </c>
      <c r="G156" s="882" t="s">
        <v>606</v>
      </c>
      <c r="H156" s="886" t="s">
        <v>90</v>
      </c>
      <c r="I156" s="425" t="s">
        <v>1401</v>
      </c>
      <c r="J156" s="439" t="s">
        <v>606</v>
      </c>
      <c r="K156" s="439" t="s">
        <v>90</v>
      </c>
      <c r="L156" s="881" t="s">
        <v>1401</v>
      </c>
      <c r="M156" s="882" t="s">
        <v>606</v>
      </c>
      <c r="N156" s="886" t="s">
        <v>90</v>
      </c>
    </row>
    <row r="157" spans="1:17" ht="14.1" hidden="1" customHeight="1">
      <c r="A157" s="25">
        <v>1</v>
      </c>
      <c r="C157" s="892"/>
      <c r="D157" s="163" t="s">
        <v>1402</v>
      </c>
      <c r="E157" s="893" t="s">
        <v>2353</v>
      </c>
      <c r="F157" s="883" t="s">
        <v>2937</v>
      </c>
      <c r="G157" s="556"/>
      <c r="H157" s="887"/>
      <c r="I157" s="870" t="s">
        <v>2938</v>
      </c>
      <c r="L157" s="883" t="s">
        <v>2939</v>
      </c>
      <c r="N157" s="888"/>
    </row>
    <row r="158" spans="1:17" ht="14.1" hidden="1" customHeight="1">
      <c r="A158" s="25">
        <f t="shared" ref="A158:A196" si="6">A157+1</f>
        <v>2</v>
      </c>
      <c r="C158" s="884" t="s">
        <v>2063</v>
      </c>
      <c r="D158" s="101"/>
      <c r="E158" s="894"/>
      <c r="F158" s="884"/>
      <c r="G158" s="556"/>
      <c r="H158" s="887"/>
      <c r="L158" s="885"/>
      <c r="N158" s="888"/>
    </row>
    <row r="159" spans="1:17" ht="14.1" hidden="1" customHeight="1">
      <c r="A159" s="25">
        <f t="shared" si="6"/>
        <v>3</v>
      </c>
      <c r="C159" s="895" t="str">
        <f>C167</f>
        <v>R0  Uninsulated</v>
      </c>
      <c r="D159" s="556" t="str">
        <f t="shared" ref="D159:D165" si="7">VLOOKUP($C159,$C$167:$E$206,2,FALSE)</f>
        <v>10-1</v>
      </c>
      <c r="E159" s="887" t="str">
        <f t="shared" ref="E159:E165" si="8">VLOOKUP($C159,$C$167:$E$206,3,FALSE)</f>
        <v>Updated to WSEC 2018</v>
      </c>
      <c r="F159" s="954" t="str">
        <f t="shared" ref="F159:F165" si="9">CONCATENATE($C159,", ",F$157)</f>
        <v>R0  Uninsulated, 2' depth</v>
      </c>
      <c r="G159" s="556">
        <f t="shared" ref="G159:G165" si="10">VLOOKUP($F159,$F$167:$H$206,2,FALSE)</f>
        <v>0.33100000000000002</v>
      </c>
      <c r="H159" s="887">
        <f t="shared" ref="H159:H165" si="11">VLOOKUP($F159,$F$167:$H$206,3,FALSE)</f>
        <v>0.57999999999999996</v>
      </c>
      <c r="I159" s="963" t="str">
        <f t="shared" ref="I159:I165" si="12">CONCATENATE($C159,", ",I$157)</f>
        <v>R0  Uninsulated, 3.5' depth</v>
      </c>
      <c r="J159" s="556">
        <f t="shared" ref="J159:J165" si="13">VLOOKUP($I159,$I$167:$K$206,2,FALSE)</f>
        <v>0.27100000000000002</v>
      </c>
      <c r="K159" s="556">
        <f t="shared" ref="K159:K165" si="14">VLOOKUP($I159,$I$167:$K$206,3,FALSE)</f>
        <v>0.51</v>
      </c>
      <c r="L159" s="957" t="str">
        <f t="shared" ref="L159:L165" si="15">CONCATENATE($C159,", ",L$157)</f>
        <v>R0  Uninsulated, 7' depth</v>
      </c>
      <c r="M159" s="556">
        <f t="shared" ref="M159:M165" si="16">VLOOKUP($L159,$L$167:$N$206,2,FALSE)</f>
        <v>0.185</v>
      </c>
      <c r="N159" s="887">
        <f t="shared" ref="N159:N165" si="17">VLOOKUP($L159,$L$167:$N$206,3,FALSE)</f>
        <v>0.43</v>
      </c>
    </row>
    <row r="160" spans="1:17" ht="14.1" hidden="1" customHeight="1">
      <c r="A160" s="25">
        <f t="shared" si="6"/>
        <v>4</v>
      </c>
      <c r="C160" s="895" t="str">
        <f>C168</f>
        <v>R10 Foam Ext</v>
      </c>
      <c r="D160" s="556" t="str">
        <f t="shared" si="7"/>
        <v>10-1</v>
      </c>
      <c r="E160" s="887" t="str">
        <f t="shared" si="8"/>
        <v>Updated to WSEC 2018</v>
      </c>
      <c r="F160" s="954" t="str">
        <f t="shared" si="9"/>
        <v>R10 Foam Ext, 2' depth</v>
      </c>
      <c r="G160" s="556">
        <f t="shared" si="10"/>
        <v>8.8999999999999996E-2</v>
      </c>
      <c r="H160" s="887">
        <f t="shared" si="11"/>
        <v>0.56000000000000005</v>
      </c>
      <c r="I160" s="963" t="str">
        <f t="shared" si="12"/>
        <v>R10 Foam Ext, 3.5' depth</v>
      </c>
      <c r="J160" s="556">
        <f t="shared" si="13"/>
        <v>7.4999999999999997E-2</v>
      </c>
      <c r="K160" s="556">
        <f t="shared" si="14"/>
        <v>0.52</v>
      </c>
      <c r="L160" s="957" t="str">
        <f t="shared" si="15"/>
        <v>R10 Foam Ext, 7' depth</v>
      </c>
      <c r="M160" s="556">
        <f t="shared" si="16"/>
        <v>5.8000000000000003E-2</v>
      </c>
      <c r="N160" s="887">
        <f t="shared" si="17"/>
        <v>0.47</v>
      </c>
    </row>
    <row r="161" spans="1:14" ht="14.1" hidden="1" customHeight="1">
      <c r="A161" s="25">
        <f t="shared" si="6"/>
        <v>5</v>
      </c>
      <c r="C161" s="895" t="str">
        <f>C170</f>
        <v>R11 Batt</v>
      </c>
      <c r="D161" s="556" t="str">
        <f t="shared" si="7"/>
        <v>10-1</v>
      </c>
      <c r="E161" s="887" t="str">
        <f t="shared" si="8"/>
        <v>Updated to WSEC 2018</v>
      </c>
      <c r="F161" s="954" t="str">
        <f t="shared" si="9"/>
        <v>R11 Batt, 2' depth</v>
      </c>
      <c r="G161" s="556">
        <f t="shared" si="10"/>
        <v>6.3E-2</v>
      </c>
      <c r="H161" s="887">
        <f t="shared" si="11"/>
        <v>0.67</v>
      </c>
      <c r="I161" s="963" t="str">
        <f t="shared" si="12"/>
        <v>R11 Batt, 3.5' depth</v>
      </c>
      <c r="J161" s="556">
        <f t="shared" si="13"/>
        <v>5.8000000000000003E-2</v>
      </c>
      <c r="K161" s="556">
        <f t="shared" si="14"/>
        <v>0.61</v>
      </c>
      <c r="L161" s="957" t="str">
        <f t="shared" si="15"/>
        <v>R11 Batt, 7' depth</v>
      </c>
      <c r="M161" s="556">
        <f t="shared" si="16"/>
        <v>5.0999999999999997E-2</v>
      </c>
      <c r="N161" s="887">
        <f t="shared" si="17"/>
        <v>0.54100000000000004</v>
      </c>
    </row>
    <row r="162" spans="1:14" ht="14.1" hidden="1" customHeight="1">
      <c r="A162" s="25">
        <f t="shared" si="6"/>
        <v>6</v>
      </c>
      <c r="C162" s="895" t="str">
        <f>C175</f>
        <v>R12 Foam Ext</v>
      </c>
      <c r="D162" s="556" t="str">
        <f t="shared" si="7"/>
        <v>10-1</v>
      </c>
      <c r="E162" s="887" t="str">
        <f t="shared" si="8"/>
        <v>Updated to WSEC 2018</v>
      </c>
      <c r="F162" s="954" t="str">
        <f t="shared" si="9"/>
        <v>R12 Foam Ext, 2' depth</v>
      </c>
      <c r="G162" s="556">
        <f t="shared" si="10"/>
        <v>0.61</v>
      </c>
      <c r="H162" s="887">
        <f t="shared" si="11"/>
        <v>0.6</v>
      </c>
      <c r="I162" s="963" t="str">
        <f t="shared" si="12"/>
        <v>R12 Foam Ext, 3.5' depth</v>
      </c>
      <c r="J162" s="556">
        <f t="shared" si="13"/>
        <v>5.7000000000000002E-2</v>
      </c>
      <c r="K162" s="556">
        <f t="shared" si="14"/>
        <v>0.56999999999999995</v>
      </c>
      <c r="L162" s="957" t="str">
        <f t="shared" si="15"/>
        <v>R12 Foam Ext, 7' depth</v>
      </c>
      <c r="M162" s="556">
        <f t="shared" si="16"/>
        <v>0.05</v>
      </c>
      <c r="N162" s="887">
        <f t="shared" si="17"/>
        <v>0.42</v>
      </c>
    </row>
    <row r="163" spans="1:14" ht="14.1" hidden="1" customHeight="1">
      <c r="A163" s="25">
        <f>A162+1</f>
        <v>7</v>
      </c>
      <c r="C163" s="895" t="str">
        <f>C169</f>
        <v>R10 Foam Ext w/TB, R10 Full Underslab</v>
      </c>
      <c r="D163" s="556" t="str">
        <f t="shared" si="7"/>
        <v>Baylon &amp; Kennedy, https://web.ornl.gov/sci/buildings/conf-archive/2007%20B10%20papers/092_Baylon.pdf</v>
      </c>
      <c r="E163" s="887" t="str">
        <f t="shared" si="8"/>
        <v>Added 2020</v>
      </c>
      <c r="F163" s="954" t="str">
        <f t="shared" si="9"/>
        <v>R10 Foam Ext w/TB, R10 Full Underslab, 2' depth</v>
      </c>
      <c r="G163" s="556">
        <f t="shared" si="10"/>
        <v>6.8000000000000005E-2</v>
      </c>
      <c r="H163" s="887">
        <f t="shared" si="11"/>
        <v>0.34499999999999997</v>
      </c>
      <c r="I163" s="963" t="str">
        <f t="shared" si="12"/>
        <v>R10 Foam Ext w/TB, R10 Full Underslab, 3.5' depth</v>
      </c>
      <c r="J163" s="556">
        <f t="shared" si="13"/>
        <v>6.4000000000000001E-2</v>
      </c>
      <c r="K163" s="556">
        <f t="shared" si="14"/>
        <v>0.32400000000000001</v>
      </c>
      <c r="L163" s="957" t="str">
        <f t="shared" si="15"/>
        <v>R10 Foam Ext w/TB, R10 Full Underslab, 7' depth</v>
      </c>
      <c r="M163" s="556">
        <f t="shared" si="16"/>
        <v>5.5E-2</v>
      </c>
      <c r="N163" s="887">
        <f t="shared" si="17"/>
        <v>0.29299999999999998</v>
      </c>
    </row>
    <row r="164" spans="1:14" ht="14.1" hidden="1" customHeight="1">
      <c r="A164" s="25">
        <f t="shared" si="6"/>
        <v>8</v>
      </c>
      <c r="C164" s="895" t="str">
        <f>C187</f>
        <v>R20 Foam Ext w/TB, R10 Full Underslab</v>
      </c>
      <c r="D164" s="556" t="str">
        <f t="shared" si="7"/>
        <v>Baylon &amp; Kennedy, https://web.ornl.gov/sci/buildings/conf-archive/2007%20B10%20papers/092_Baylon.pdf</v>
      </c>
      <c r="E164" s="887" t="str">
        <f t="shared" si="8"/>
        <v>Added 2020 from reference</v>
      </c>
      <c r="F164" s="954" t="str">
        <f t="shared" si="9"/>
        <v>R20 Foam Ext w/TB, R10 Full Underslab, 2' depth</v>
      </c>
      <c r="G164" s="556">
        <f t="shared" si="10"/>
        <v>0.04</v>
      </c>
      <c r="H164" s="887">
        <f t="shared" si="11"/>
        <v>0.35</v>
      </c>
      <c r="I164" s="963" t="str">
        <f t="shared" si="12"/>
        <v>R20 Foam Ext w/TB, R10 Full Underslab, 3.5' depth</v>
      </c>
      <c r="J164" s="556">
        <f t="shared" si="13"/>
        <v>3.7999999999999999E-2</v>
      </c>
      <c r="K164" s="556">
        <f t="shared" si="14"/>
        <v>0.33100000000000002</v>
      </c>
      <c r="L164" s="957" t="str">
        <f t="shared" si="15"/>
        <v>R20 Foam Ext w/TB, R10 Full Underslab, 7' depth</v>
      </c>
      <c r="M164" s="556">
        <f t="shared" si="16"/>
        <v>3.4000000000000002E-2</v>
      </c>
      <c r="N164" s="887">
        <f t="shared" si="17"/>
        <v>0.30399999999999999</v>
      </c>
    </row>
    <row r="165" spans="1:14" ht="14.1" hidden="1" customHeight="1">
      <c r="A165" s="25">
        <f t="shared" si="6"/>
        <v>9</v>
      </c>
      <c r="C165" s="895" t="str">
        <f>C189</f>
        <v>R21 Batt w/TB</v>
      </c>
      <c r="D165" s="556" t="str">
        <f t="shared" si="7"/>
        <v>WSU</v>
      </c>
      <c r="E165" s="887" t="str">
        <f t="shared" si="8"/>
        <v>Updated to WSEC 2018</v>
      </c>
      <c r="F165" s="954" t="str">
        <f t="shared" si="9"/>
        <v>R21 Batt w/TB, 2' depth</v>
      </c>
      <c r="G165" s="556">
        <f t="shared" si="10"/>
        <v>4.2000000000000003E-2</v>
      </c>
      <c r="H165" s="887">
        <f t="shared" si="11"/>
        <v>0.59</v>
      </c>
      <c r="I165" s="963" t="str">
        <f t="shared" si="12"/>
        <v>R21 Batt w/TB, 3.5' depth</v>
      </c>
      <c r="J165" s="556">
        <f t="shared" si="13"/>
        <v>0.04</v>
      </c>
      <c r="K165" s="556">
        <f t="shared" si="14"/>
        <v>0.56000000000000005</v>
      </c>
      <c r="L165" s="957" t="str">
        <f t="shared" si="15"/>
        <v>R21 Batt w/TB, 7' depth</v>
      </c>
      <c r="M165" s="556">
        <f t="shared" si="16"/>
        <v>3.5000000000000003E-2</v>
      </c>
      <c r="N165" s="887">
        <f t="shared" si="17"/>
        <v>0.5</v>
      </c>
    </row>
    <row r="166" spans="1:14" ht="14.1" hidden="1" customHeight="1">
      <c r="A166" s="25">
        <f t="shared" si="6"/>
        <v>10</v>
      </c>
      <c r="C166" s="884" t="s">
        <v>2110</v>
      </c>
      <c r="D166" s="163"/>
      <c r="E166" s="893"/>
      <c r="F166" s="893"/>
      <c r="H166" s="888"/>
      <c r="I166" s="888"/>
      <c r="J166" s="556"/>
      <c r="K166" s="556"/>
      <c r="L166" s="888"/>
      <c r="M166" s="556"/>
      <c r="N166" s="887"/>
    </row>
    <row r="167" spans="1:14" ht="14.1" hidden="1" customHeight="1">
      <c r="A167" s="25">
        <f t="shared" si="6"/>
        <v>11</v>
      </c>
      <c r="C167" s="895" t="s">
        <v>2911</v>
      </c>
      <c r="D167" s="872" t="s">
        <v>91</v>
      </c>
      <c r="E167" s="896" t="s">
        <v>2592</v>
      </c>
      <c r="F167" s="955" t="str">
        <f t="shared" ref="F167:F196" si="18">CONCATENATE($C167,", ",F$157)</f>
        <v>R0  Uninsulated, 2' depth</v>
      </c>
      <c r="G167" s="959">
        <v>0.33100000000000002</v>
      </c>
      <c r="H167" s="960">
        <v>0.57999999999999996</v>
      </c>
      <c r="I167" s="956" t="str">
        <f t="shared" ref="I167:I196" si="19">CONCATENATE($C167,", ",I$157)</f>
        <v>R0  Uninsulated, 3.5' depth</v>
      </c>
      <c r="J167" s="961">
        <v>0.27100000000000002</v>
      </c>
      <c r="K167" s="961">
        <v>0.51</v>
      </c>
      <c r="L167" s="958" t="str">
        <f t="shared" ref="L167:L196" si="20">CONCATENATE($C167,", ",L$157)</f>
        <v>R0  Uninsulated, 7' depth</v>
      </c>
      <c r="M167" s="961">
        <v>0.185</v>
      </c>
      <c r="N167" s="962">
        <v>0.43</v>
      </c>
    </row>
    <row r="168" spans="1:14" ht="14.1" hidden="1" customHeight="1">
      <c r="A168" s="25">
        <f t="shared" si="6"/>
        <v>12</v>
      </c>
      <c r="C168" s="895" t="s">
        <v>2935</v>
      </c>
      <c r="D168" s="460" t="s">
        <v>91</v>
      </c>
      <c r="E168" s="896" t="s">
        <v>2592</v>
      </c>
      <c r="F168" s="955" t="str">
        <f t="shared" si="18"/>
        <v>R10 Foam Ext, 2' depth</v>
      </c>
      <c r="G168" s="959">
        <v>8.8999999999999996E-2</v>
      </c>
      <c r="H168" s="960">
        <v>0.56000000000000005</v>
      </c>
      <c r="I168" s="956" t="str">
        <f t="shared" si="19"/>
        <v>R10 Foam Ext, 3.5' depth</v>
      </c>
      <c r="J168" s="961">
        <v>7.4999999999999997E-2</v>
      </c>
      <c r="K168" s="961">
        <v>0.52</v>
      </c>
      <c r="L168" s="958" t="str">
        <f t="shared" si="20"/>
        <v>R10 Foam Ext, 7' depth</v>
      </c>
      <c r="M168" s="961">
        <v>5.8000000000000003E-2</v>
      </c>
      <c r="N168" s="962">
        <v>0.47</v>
      </c>
    </row>
    <row r="169" spans="1:14" ht="14.1" hidden="1" customHeight="1">
      <c r="A169" s="25">
        <f t="shared" si="6"/>
        <v>13</v>
      </c>
      <c r="C169" s="927" t="s">
        <v>2952</v>
      </c>
      <c r="D169" s="873" t="s">
        <v>2164</v>
      </c>
      <c r="E169" s="897" t="s">
        <v>2134</v>
      </c>
      <c r="F169" s="955" t="str">
        <f t="shared" si="18"/>
        <v>R10 Foam Ext w/TB, R10 Full Underslab, 2' depth</v>
      </c>
      <c r="G169" s="959">
        <v>6.8000000000000005E-2</v>
      </c>
      <c r="H169" s="960">
        <v>0.34499999999999997</v>
      </c>
      <c r="I169" s="956" t="str">
        <f t="shared" si="19"/>
        <v>R10 Foam Ext w/TB, R10 Full Underslab, 3.5' depth</v>
      </c>
      <c r="J169" s="961">
        <v>6.4000000000000001E-2</v>
      </c>
      <c r="K169" s="961">
        <v>0.32400000000000001</v>
      </c>
      <c r="L169" s="958" t="str">
        <f t="shared" si="20"/>
        <v>R10 Foam Ext w/TB, R10 Full Underslab, 7' depth</v>
      </c>
      <c r="M169" s="961">
        <v>5.5E-2</v>
      </c>
      <c r="N169" s="962">
        <v>0.29299999999999998</v>
      </c>
    </row>
    <row r="170" spans="1:14" ht="14.1" hidden="1" customHeight="1">
      <c r="A170" s="25">
        <f t="shared" si="6"/>
        <v>14</v>
      </c>
      <c r="C170" s="895" t="s">
        <v>2912</v>
      </c>
      <c r="D170" s="460" t="s">
        <v>91</v>
      </c>
      <c r="E170" s="896" t="s">
        <v>2592</v>
      </c>
      <c r="F170" s="955" t="str">
        <f t="shared" si="18"/>
        <v>R11 Batt, 2' depth</v>
      </c>
      <c r="G170" s="959">
        <v>6.3E-2</v>
      </c>
      <c r="H170" s="960">
        <v>0.67</v>
      </c>
      <c r="I170" s="956" t="str">
        <f t="shared" si="19"/>
        <v>R11 Batt, 3.5' depth</v>
      </c>
      <c r="J170" s="961">
        <v>5.8000000000000003E-2</v>
      </c>
      <c r="K170" s="961">
        <v>0.61</v>
      </c>
      <c r="L170" s="958" t="str">
        <f t="shared" si="20"/>
        <v>R11 Batt, 7' depth</v>
      </c>
      <c r="M170" s="961">
        <v>5.0999999999999997E-2</v>
      </c>
      <c r="N170" s="962">
        <v>0.54100000000000004</v>
      </c>
    </row>
    <row r="171" spans="1:14" ht="14.1" hidden="1" customHeight="1">
      <c r="A171" s="25">
        <f t="shared" si="6"/>
        <v>15</v>
      </c>
      <c r="C171" s="895" t="s">
        <v>2913</v>
      </c>
      <c r="D171" s="460" t="s">
        <v>91</v>
      </c>
      <c r="E171" s="896" t="s">
        <v>2592</v>
      </c>
      <c r="F171" s="955" t="str">
        <f t="shared" si="18"/>
        <v>R11 Batt w/TB, 2' depth</v>
      </c>
      <c r="G171" s="959">
        <v>6.5000000000000002E-2</v>
      </c>
      <c r="H171" s="960">
        <v>0.59</v>
      </c>
      <c r="I171" s="956" t="str">
        <f t="shared" si="19"/>
        <v>R11 Batt w/TB, 3.5' depth</v>
      </c>
      <c r="J171" s="961">
        <v>6.0999999999999999E-2</v>
      </c>
      <c r="K171" s="961">
        <v>0.55000000000000004</v>
      </c>
      <c r="L171" s="958" t="str">
        <f t="shared" si="20"/>
        <v>R11 Batt w/TB, 7' depth</v>
      </c>
      <c r="M171" s="961">
        <v>5.2999999999999999E-2</v>
      </c>
      <c r="N171" s="962">
        <v>0.49</v>
      </c>
    </row>
    <row r="172" spans="1:14" ht="14.1" hidden="1" customHeight="1">
      <c r="A172" s="25">
        <f t="shared" si="6"/>
        <v>16</v>
      </c>
      <c r="C172" s="895" t="s">
        <v>2916</v>
      </c>
      <c r="D172" s="873" t="s">
        <v>2164</v>
      </c>
      <c r="E172" s="897" t="s">
        <v>2850</v>
      </c>
      <c r="F172" s="955" t="str">
        <f t="shared" si="18"/>
        <v>R11 Batt + R5 ci, 2' depth</v>
      </c>
      <c r="G172" s="959">
        <v>4.3999999999999997E-2</v>
      </c>
      <c r="H172" s="960">
        <v>0.67700000000000005</v>
      </c>
      <c r="I172" s="956" t="str">
        <f t="shared" si="19"/>
        <v>R11 Batt + R5 ci, 3.5' depth</v>
      </c>
      <c r="J172" s="961">
        <v>4.2000000000000003E-2</v>
      </c>
      <c r="K172" s="961">
        <v>0.624</v>
      </c>
      <c r="L172" s="958" t="str">
        <f t="shared" si="20"/>
        <v>R11 Batt + R5 ci, 7' depth</v>
      </c>
      <c r="M172" s="961">
        <v>3.6999999999999998E-2</v>
      </c>
      <c r="N172" s="962">
        <v>0.55300000000000005</v>
      </c>
    </row>
    <row r="173" spans="1:14" ht="14.1" hidden="1" customHeight="1">
      <c r="A173" s="25">
        <f t="shared" si="6"/>
        <v>17</v>
      </c>
      <c r="C173" s="895" t="s">
        <v>2917</v>
      </c>
      <c r="D173" s="873" t="s">
        <v>2164</v>
      </c>
      <c r="E173" s="897" t="s">
        <v>2594</v>
      </c>
      <c r="F173" s="955" t="str">
        <f t="shared" si="18"/>
        <v>R11 Batt + R5 ci w/TB, 2' depth</v>
      </c>
      <c r="G173" s="959">
        <v>4.5999999999999999E-2</v>
      </c>
      <c r="H173" s="960">
        <v>0.59</v>
      </c>
      <c r="I173" s="956" t="str">
        <f t="shared" si="19"/>
        <v>R11 Batt + R5 ci w/TB, 3.5' depth</v>
      </c>
      <c r="J173" s="961">
        <v>4.2999999999999997E-2</v>
      </c>
      <c r="K173" s="961">
        <v>0.55300000000000005</v>
      </c>
      <c r="L173" s="958" t="str">
        <f t="shared" si="20"/>
        <v>R11 Batt + R5 ci w/TB, 7' depth</v>
      </c>
      <c r="M173" s="961">
        <v>3.7999999999999999E-2</v>
      </c>
      <c r="N173" s="962">
        <v>0.499</v>
      </c>
    </row>
    <row r="174" spans="1:14" ht="14.1" hidden="1" customHeight="1">
      <c r="A174" s="25">
        <f t="shared" si="6"/>
        <v>18</v>
      </c>
      <c r="C174" s="895" t="s">
        <v>2918</v>
      </c>
      <c r="D174" s="873" t="s">
        <v>2164</v>
      </c>
      <c r="E174" s="897" t="s">
        <v>2594</v>
      </c>
      <c r="F174" s="955" t="str">
        <f t="shared" si="18"/>
        <v>R11 Batt + R5 ci R10 Fully Underslab, 2' depth</v>
      </c>
      <c r="G174" s="959">
        <v>4.8000000000000001E-2</v>
      </c>
      <c r="H174" s="960">
        <v>0.34799999999999998</v>
      </c>
      <c r="I174" s="956" t="str">
        <f t="shared" si="19"/>
        <v>R11 Batt + R5 ci R10 Fully Underslab, 3.5' depth</v>
      </c>
      <c r="J174" s="961">
        <v>4.4999999999999998E-2</v>
      </c>
      <c r="K174" s="961">
        <v>0.32900000000000001</v>
      </c>
      <c r="L174" s="958" t="str">
        <f t="shared" si="20"/>
        <v>R11 Batt + R5 ci R10 Fully Underslab, 7' depth</v>
      </c>
      <c r="M174" s="961">
        <v>0.04</v>
      </c>
      <c r="N174" s="962">
        <v>0.30099999999999999</v>
      </c>
    </row>
    <row r="175" spans="1:14" ht="14.1" hidden="1" customHeight="1">
      <c r="A175" s="25">
        <f t="shared" si="6"/>
        <v>19</v>
      </c>
      <c r="C175" s="895" t="s">
        <v>2936</v>
      </c>
      <c r="D175" s="460" t="s">
        <v>91</v>
      </c>
      <c r="E175" s="896" t="s">
        <v>2592</v>
      </c>
      <c r="F175" s="955" t="str">
        <f t="shared" si="18"/>
        <v>R12 Foam Ext, 2' depth</v>
      </c>
      <c r="G175" s="959">
        <v>0.61</v>
      </c>
      <c r="H175" s="960">
        <v>0.6</v>
      </c>
      <c r="I175" s="956" t="str">
        <f t="shared" si="19"/>
        <v>R12 Foam Ext, 3.5' depth</v>
      </c>
      <c r="J175" s="961">
        <v>5.7000000000000002E-2</v>
      </c>
      <c r="K175" s="961">
        <v>0.56999999999999995</v>
      </c>
      <c r="L175" s="958" t="str">
        <f t="shared" si="20"/>
        <v>R12 Foam Ext, 7' depth</v>
      </c>
      <c r="M175" s="961">
        <v>0.05</v>
      </c>
      <c r="N175" s="962">
        <v>0.42</v>
      </c>
    </row>
    <row r="176" spans="1:14" ht="14.1" hidden="1" customHeight="1">
      <c r="A176" s="25">
        <f t="shared" si="6"/>
        <v>20</v>
      </c>
      <c r="C176" s="895" t="s">
        <v>2914</v>
      </c>
      <c r="D176" s="460" t="s">
        <v>1577</v>
      </c>
      <c r="E176" s="896" t="s">
        <v>2595</v>
      </c>
      <c r="F176" s="955" t="str">
        <f t="shared" si="18"/>
        <v>R13 Batt, 2' depth</v>
      </c>
      <c r="G176" s="959">
        <f t="shared" ref="G176:H178" si="21">G170*0.667+G182*0.333</f>
        <v>5.6007000000000001E-2</v>
      </c>
      <c r="H176" s="959">
        <f t="shared" si="21"/>
        <v>0.6733300000000001</v>
      </c>
      <c r="I176" s="956" t="str">
        <f t="shared" si="19"/>
        <v>R13 Batt, 3.5' depth</v>
      </c>
      <c r="J176" s="959">
        <f t="shared" ref="J176:K178" si="22">J170*0.667+J182*0.333</f>
        <v>5.2339000000000011E-2</v>
      </c>
      <c r="K176" s="959">
        <f t="shared" si="22"/>
        <v>0.61333000000000004</v>
      </c>
      <c r="L176" s="958" t="str">
        <f t="shared" si="20"/>
        <v>R13 Batt, 7' depth</v>
      </c>
      <c r="M176" s="959">
        <f t="shared" ref="M176:N178" si="23">M170*0.667+M182*0.333</f>
        <v>4.6004999999999997E-2</v>
      </c>
      <c r="N176" s="959">
        <f t="shared" si="23"/>
        <v>0.54066700000000001</v>
      </c>
    </row>
    <row r="177" spans="1:14" ht="14.1" hidden="1" customHeight="1">
      <c r="A177" s="25">
        <f t="shared" si="6"/>
        <v>21</v>
      </c>
      <c r="C177" s="895" t="s">
        <v>2915</v>
      </c>
      <c r="D177" s="460" t="s">
        <v>1577</v>
      </c>
      <c r="E177" s="896" t="s">
        <v>2595</v>
      </c>
      <c r="F177" s="955" t="str">
        <f t="shared" si="18"/>
        <v>R13 Batt w/TB , 2' depth</v>
      </c>
      <c r="G177" s="959">
        <f t="shared" si="21"/>
        <v>5.8340000000000003E-2</v>
      </c>
      <c r="H177" s="959">
        <f t="shared" si="21"/>
        <v>0.59</v>
      </c>
      <c r="I177" s="956" t="str">
        <f t="shared" si="19"/>
        <v>R13 Batt w/TB , 3.5' depth</v>
      </c>
      <c r="J177" s="959">
        <f t="shared" si="22"/>
        <v>5.4672999999999999E-2</v>
      </c>
      <c r="K177" s="959">
        <f t="shared" si="22"/>
        <v>0.55000000000000004</v>
      </c>
      <c r="L177" s="958" t="str">
        <f t="shared" si="20"/>
        <v>R13 Batt w/TB , 7' depth</v>
      </c>
      <c r="M177" s="959">
        <f t="shared" si="23"/>
        <v>4.7671999999999999E-2</v>
      </c>
      <c r="N177" s="959">
        <f t="shared" si="23"/>
        <v>0.49333000000000005</v>
      </c>
    </row>
    <row r="178" spans="1:14" ht="14.1" hidden="1" customHeight="1">
      <c r="A178" s="25">
        <f t="shared" si="6"/>
        <v>22</v>
      </c>
      <c r="C178" s="895" t="s">
        <v>2919</v>
      </c>
      <c r="D178" s="460" t="s">
        <v>1577</v>
      </c>
      <c r="E178" s="896" t="s">
        <v>2595</v>
      </c>
      <c r="F178" s="955" t="str">
        <f t="shared" si="18"/>
        <v>R13 Batt + R5 ci, 2' depth</v>
      </c>
      <c r="G178" s="959">
        <f t="shared" si="21"/>
        <v>4.0336999999999998E-2</v>
      </c>
      <c r="H178" s="959">
        <f t="shared" si="21"/>
        <v>0.67866500000000007</v>
      </c>
      <c r="I178" s="956" t="str">
        <f t="shared" si="19"/>
        <v>R13 Batt + R5 ci, 3.5' depth</v>
      </c>
      <c r="J178" s="959">
        <f t="shared" si="22"/>
        <v>3.8337000000000003E-2</v>
      </c>
      <c r="K178" s="959">
        <f t="shared" si="22"/>
        <v>0.62599800000000005</v>
      </c>
      <c r="L178" s="958" t="str">
        <f t="shared" si="20"/>
        <v>R13 Batt + R5 ci, 7' depth</v>
      </c>
      <c r="M178" s="959">
        <f t="shared" si="23"/>
        <v>3.4002999999999999E-2</v>
      </c>
      <c r="N178" s="959">
        <f t="shared" si="23"/>
        <v>0.55632999999999999</v>
      </c>
    </row>
    <row r="179" spans="1:14" ht="14.1" hidden="1" customHeight="1">
      <c r="C179" s="895" t="s">
        <v>2974</v>
      </c>
      <c r="D179" s="460" t="s">
        <v>1577</v>
      </c>
      <c r="E179" s="896" t="s">
        <v>2595</v>
      </c>
      <c r="F179" s="955" t="str">
        <f t="shared" si="18"/>
        <v>R13 Batt + R5 ci R10 Fully Underslab, 2' depth</v>
      </c>
      <c r="G179" s="959">
        <f>G174*0.667+G186*0.333</f>
        <v>4.4004000000000001E-2</v>
      </c>
      <c r="H179" s="959">
        <f>H174*0.667+H186*0.333</f>
        <v>0.34866599999999998</v>
      </c>
      <c r="I179" s="956" t="str">
        <f t="shared" si="19"/>
        <v>R13 Batt + R5 ci R10 Fully Underslab, 3.5' depth</v>
      </c>
      <c r="J179" s="959">
        <f>J174*0.667+J186*0.333</f>
        <v>4.1336999999999999E-2</v>
      </c>
      <c r="K179" s="959">
        <f>K174*0.667+K186*0.333</f>
        <v>0.33033200000000007</v>
      </c>
      <c r="L179" s="958" t="str">
        <f t="shared" si="20"/>
        <v>R13 Batt + R5 ci R10 Fully Underslab, 7' depth</v>
      </c>
      <c r="M179" s="959">
        <f>M174*0.667+M186*0.333</f>
        <v>3.7003000000000001E-2</v>
      </c>
      <c r="N179" s="959">
        <f>N174*0.667+N186*0.333</f>
        <v>0.30299799999999999</v>
      </c>
    </row>
    <row r="180" spans="1:14" ht="14.1" hidden="1" customHeight="1">
      <c r="A180" s="25">
        <f>A178+1</f>
        <v>23</v>
      </c>
      <c r="C180" s="895" t="s">
        <v>2920</v>
      </c>
      <c r="D180" s="460" t="s">
        <v>1577</v>
      </c>
      <c r="E180" s="896" t="s">
        <v>2595</v>
      </c>
      <c r="F180" s="955" t="str">
        <f t="shared" si="18"/>
        <v>R15 Batt, 2' depth</v>
      </c>
      <c r="G180" s="959">
        <f>G170*0.5+G182*0.5</f>
        <v>5.2500000000000005E-2</v>
      </c>
      <c r="H180" s="959">
        <f>H170*0.5+H182*0.5</f>
        <v>0.67500000000000004</v>
      </c>
      <c r="I180" s="956" t="str">
        <f t="shared" si="19"/>
        <v>R15 Batt, 3.5' depth</v>
      </c>
      <c r="J180" s="959">
        <f>J170*0.5+J182*0.5</f>
        <v>4.9500000000000002E-2</v>
      </c>
      <c r="K180" s="959">
        <f>K170*0.5+K182*0.5</f>
        <v>0.61499999999999999</v>
      </c>
      <c r="L180" s="958" t="str">
        <f t="shared" si="20"/>
        <v>R15 Batt, 7' depth</v>
      </c>
      <c r="M180" s="959">
        <f>M170*0.5+M182*0.5</f>
        <v>4.3499999999999997E-2</v>
      </c>
      <c r="N180" s="959">
        <f>N170*0.5+N182*0.5</f>
        <v>0.54049999999999998</v>
      </c>
    </row>
    <row r="181" spans="1:14" ht="14.1" hidden="1" customHeight="1">
      <c r="A181" s="25">
        <f t="shared" si="6"/>
        <v>24</v>
      </c>
      <c r="C181" s="895" t="s">
        <v>2921</v>
      </c>
      <c r="D181" s="460" t="s">
        <v>1577</v>
      </c>
      <c r="E181" s="896" t="s">
        <v>2595</v>
      </c>
      <c r="F181" s="955" t="str">
        <f t="shared" si="18"/>
        <v>R15 Batt w/TB, 2' depth</v>
      </c>
      <c r="G181" s="959">
        <f>G171*0.5+G183*0.5</f>
        <v>5.5E-2</v>
      </c>
      <c r="H181" s="959">
        <f>H171*0.5+H183*0.5</f>
        <v>0.59</v>
      </c>
      <c r="I181" s="956" t="str">
        <f t="shared" si="19"/>
        <v>R15 Batt w/TB, 3.5' depth</v>
      </c>
      <c r="J181" s="959">
        <f>J171*0.5+J183*0.5</f>
        <v>5.1500000000000004E-2</v>
      </c>
      <c r="K181" s="959">
        <f>K171*0.5+K183*0.5</f>
        <v>0.55000000000000004</v>
      </c>
      <c r="L181" s="958" t="str">
        <f t="shared" si="20"/>
        <v>R15 Batt w/TB, 7' depth</v>
      </c>
      <c r="M181" s="959">
        <f>M171*0.5+M183*0.5</f>
        <v>4.4999999999999998E-2</v>
      </c>
      <c r="N181" s="959">
        <f>N171*0.5+N183*0.5</f>
        <v>0.495</v>
      </c>
    </row>
    <row r="182" spans="1:14" ht="14.1" hidden="1" customHeight="1">
      <c r="A182" s="25">
        <f t="shared" si="6"/>
        <v>25</v>
      </c>
      <c r="C182" s="895" t="s">
        <v>2922</v>
      </c>
      <c r="D182" s="460" t="s">
        <v>91</v>
      </c>
      <c r="E182" s="896" t="s">
        <v>2592</v>
      </c>
      <c r="F182" s="955" t="str">
        <f t="shared" si="18"/>
        <v>R19 Batt, 2' depth</v>
      </c>
      <c r="G182" s="959">
        <v>4.2000000000000003E-2</v>
      </c>
      <c r="H182" s="960">
        <v>0.68</v>
      </c>
      <c r="I182" s="956" t="str">
        <f t="shared" si="19"/>
        <v>R19 Batt, 3.5' depth</v>
      </c>
      <c r="J182" s="961">
        <v>4.1000000000000002E-2</v>
      </c>
      <c r="K182" s="961">
        <v>0.62</v>
      </c>
      <c r="L182" s="958" t="str">
        <f t="shared" si="20"/>
        <v>R19 Batt, 7' depth</v>
      </c>
      <c r="M182" s="961">
        <v>3.5999999999999997E-2</v>
      </c>
      <c r="N182" s="962">
        <v>0.54</v>
      </c>
    </row>
    <row r="183" spans="1:14" ht="14.1" hidden="1" customHeight="1">
      <c r="A183" s="25">
        <f t="shared" si="6"/>
        <v>26</v>
      </c>
      <c r="C183" s="895" t="s">
        <v>2923</v>
      </c>
      <c r="D183" s="460" t="s">
        <v>91</v>
      </c>
      <c r="E183" s="896" t="s">
        <v>2592</v>
      </c>
      <c r="F183" s="955" t="str">
        <f t="shared" si="18"/>
        <v>R19 Batt w/TB, 2' depth</v>
      </c>
      <c r="G183" s="959">
        <v>4.4999999999999998E-2</v>
      </c>
      <c r="H183" s="960">
        <v>0.59</v>
      </c>
      <c r="I183" s="956" t="str">
        <f t="shared" si="19"/>
        <v>R19 Batt w/TB, 3.5' depth</v>
      </c>
      <c r="J183" s="961">
        <v>4.2000000000000003E-2</v>
      </c>
      <c r="K183" s="961">
        <v>0.55000000000000004</v>
      </c>
      <c r="L183" s="958" t="str">
        <f t="shared" si="20"/>
        <v>R19 Batt w/TB, 7' depth</v>
      </c>
      <c r="M183" s="961">
        <v>3.6999999999999998E-2</v>
      </c>
      <c r="N183" s="962">
        <v>0.5</v>
      </c>
    </row>
    <row r="184" spans="1:14" ht="14.1" hidden="1" customHeight="1">
      <c r="A184" s="25">
        <f t="shared" si="6"/>
        <v>27</v>
      </c>
      <c r="C184" s="895" t="s">
        <v>2924</v>
      </c>
      <c r="D184" s="873" t="s">
        <v>2164</v>
      </c>
      <c r="E184" s="897" t="s">
        <v>2850</v>
      </c>
      <c r="F184" s="955" t="str">
        <f t="shared" si="18"/>
        <v>R19 Batt + R5 ci, 2' depth</v>
      </c>
      <c r="G184" s="959">
        <v>3.3000000000000002E-2</v>
      </c>
      <c r="H184" s="960">
        <v>0.68200000000000005</v>
      </c>
      <c r="I184" s="956" t="str">
        <f t="shared" si="19"/>
        <v>R19 Batt + R5 ci, 3.5' depth</v>
      </c>
      <c r="J184" s="961">
        <v>3.1E-2</v>
      </c>
      <c r="K184" s="961">
        <v>0.63</v>
      </c>
      <c r="L184" s="958" t="str">
        <f t="shared" si="20"/>
        <v>R19 Batt + R5 ci, 7' depth</v>
      </c>
      <c r="M184" s="961">
        <v>2.8000000000000001E-2</v>
      </c>
      <c r="N184" s="962">
        <v>0.56299999999999994</v>
      </c>
    </row>
    <row r="185" spans="1:14" ht="14.1" hidden="1" customHeight="1">
      <c r="A185" s="25">
        <f t="shared" si="6"/>
        <v>28</v>
      </c>
      <c r="C185" s="895" t="s">
        <v>2925</v>
      </c>
      <c r="D185" s="873" t="s">
        <v>2164</v>
      </c>
      <c r="E185" s="897" t="s">
        <v>2850</v>
      </c>
      <c r="F185" s="955" t="str">
        <f t="shared" si="18"/>
        <v>R19 Batt + R5 ci w/TB, 2' depth</v>
      </c>
      <c r="G185" s="959">
        <v>3.4000000000000002E-2</v>
      </c>
      <c r="H185" s="960">
        <v>0.59399999999999997</v>
      </c>
      <c r="I185" s="956" t="str">
        <f t="shared" si="19"/>
        <v>R19 Batt + R5 ci w/TB, 3.5' depth</v>
      </c>
      <c r="J185" s="961">
        <v>3.3000000000000002E-2</v>
      </c>
      <c r="K185" s="961">
        <v>0.55800000000000005</v>
      </c>
      <c r="L185" s="958" t="str">
        <f t="shared" si="20"/>
        <v>R19 Batt + R5 ci w/TB, 7' depth</v>
      </c>
      <c r="M185" s="961">
        <v>2.9000000000000001E-2</v>
      </c>
      <c r="N185" s="962">
        <v>0.50700000000000001</v>
      </c>
    </row>
    <row r="186" spans="1:14" ht="14.1" hidden="1" customHeight="1">
      <c r="C186" s="895" t="s">
        <v>2973</v>
      </c>
      <c r="D186" s="873" t="s">
        <v>2164</v>
      </c>
      <c r="E186" s="897" t="s">
        <v>2850</v>
      </c>
      <c r="F186" s="955" t="str">
        <f t="shared" si="18"/>
        <v>R19 Batt + R5 ci R10 Fully Underslab, 2' depth</v>
      </c>
      <c r="G186" s="959">
        <v>3.5999999999999997E-2</v>
      </c>
      <c r="H186" s="959">
        <v>0.35</v>
      </c>
      <c r="I186" s="956" t="str">
        <f t="shared" si="19"/>
        <v>R19 Batt + R5 ci R10 Fully Underslab, 3.5' depth</v>
      </c>
      <c r="J186" s="961">
        <v>3.4000000000000002E-2</v>
      </c>
      <c r="K186" s="961">
        <v>0.33300000000000002</v>
      </c>
      <c r="L186" s="958" t="str">
        <f t="shared" si="20"/>
        <v>R19 Batt + R5 ci R10 Fully Underslab, 7' depth</v>
      </c>
      <c r="M186" s="961">
        <v>3.1E-2</v>
      </c>
      <c r="N186" s="962">
        <v>0.307</v>
      </c>
    </row>
    <row r="187" spans="1:14" ht="14.1" hidden="1" customHeight="1">
      <c r="A187" s="25">
        <f>A185+1</f>
        <v>29</v>
      </c>
      <c r="C187" s="927" t="s">
        <v>2953</v>
      </c>
      <c r="D187" s="873" t="s">
        <v>2164</v>
      </c>
      <c r="E187" s="897" t="s">
        <v>2594</v>
      </c>
      <c r="F187" s="955" t="str">
        <f t="shared" si="18"/>
        <v>R20 Foam Ext w/TB, R10 Full Underslab, 2' depth</v>
      </c>
      <c r="G187" s="959">
        <v>0.04</v>
      </c>
      <c r="H187" s="960">
        <v>0.35</v>
      </c>
      <c r="I187" s="956" t="str">
        <f t="shared" si="19"/>
        <v>R20 Foam Ext w/TB, R10 Full Underslab, 3.5' depth</v>
      </c>
      <c r="J187" s="961">
        <v>3.7999999999999999E-2</v>
      </c>
      <c r="K187" s="961">
        <v>0.33100000000000002</v>
      </c>
      <c r="L187" s="958" t="str">
        <f t="shared" si="20"/>
        <v>R20 Foam Ext w/TB, R10 Full Underslab, 7' depth</v>
      </c>
      <c r="M187" s="961">
        <v>3.4000000000000002E-2</v>
      </c>
      <c r="N187" s="962">
        <v>0.30399999999999999</v>
      </c>
    </row>
    <row r="188" spans="1:14" ht="14.1" hidden="1" customHeight="1">
      <c r="A188" s="25">
        <f t="shared" si="6"/>
        <v>30</v>
      </c>
      <c r="C188" s="895" t="s">
        <v>2926</v>
      </c>
      <c r="D188" s="460" t="s">
        <v>1577</v>
      </c>
      <c r="E188" s="896" t="s">
        <v>2592</v>
      </c>
      <c r="F188" s="955" t="str">
        <f t="shared" si="18"/>
        <v>R21 Batt, 2' depth</v>
      </c>
      <c r="G188" s="959">
        <v>0.04</v>
      </c>
      <c r="H188" s="960">
        <v>0.68</v>
      </c>
      <c r="I188" s="956" t="str">
        <f t="shared" si="19"/>
        <v>R21 Batt, 3.5' depth</v>
      </c>
      <c r="J188" s="961">
        <v>3.7999999999999999E-2</v>
      </c>
      <c r="K188" s="961">
        <v>0.63</v>
      </c>
      <c r="L188" s="958" t="str">
        <f t="shared" si="20"/>
        <v>R21 Batt, 7' depth</v>
      </c>
      <c r="M188" s="961">
        <v>3.5000000000000003E-2</v>
      </c>
      <c r="N188" s="962">
        <v>0.56000000000000005</v>
      </c>
    </row>
    <row r="189" spans="1:14" ht="14.1" hidden="1" customHeight="1">
      <c r="A189" s="25">
        <f t="shared" si="6"/>
        <v>31</v>
      </c>
      <c r="C189" s="920" t="s">
        <v>2927</v>
      </c>
      <c r="D189" s="460" t="s">
        <v>1577</v>
      </c>
      <c r="E189" s="896" t="s">
        <v>2592</v>
      </c>
      <c r="F189" s="955" t="str">
        <f t="shared" si="18"/>
        <v>R21 Batt w/TB, 2' depth</v>
      </c>
      <c r="G189" s="959">
        <v>4.2000000000000003E-2</v>
      </c>
      <c r="H189" s="960">
        <v>0.59</v>
      </c>
      <c r="I189" s="956" t="str">
        <f t="shared" si="19"/>
        <v>R21 Batt w/TB, 3.5' depth</v>
      </c>
      <c r="J189" s="961">
        <v>0.04</v>
      </c>
      <c r="K189" s="961">
        <v>0.56000000000000005</v>
      </c>
      <c r="L189" s="958" t="str">
        <f t="shared" si="20"/>
        <v>R21 Batt w/TB, 7' depth</v>
      </c>
      <c r="M189" s="961">
        <v>3.5000000000000003E-2</v>
      </c>
      <c r="N189" s="962">
        <v>0.5</v>
      </c>
    </row>
    <row r="190" spans="1:14" ht="14.1" hidden="1" customHeight="1">
      <c r="A190" s="25">
        <f t="shared" si="6"/>
        <v>32</v>
      </c>
      <c r="C190" s="895" t="s">
        <v>2928</v>
      </c>
      <c r="D190" s="460" t="s">
        <v>91</v>
      </c>
      <c r="E190" s="896" t="s">
        <v>2593</v>
      </c>
      <c r="F190" s="955" t="str">
        <f t="shared" si="18"/>
        <v>R21 Batt + R5 ci, 2' depth</v>
      </c>
      <c r="G190" s="959">
        <v>3.1E-2</v>
      </c>
      <c r="H190" s="960">
        <v>0.68</v>
      </c>
      <c r="I190" s="956" t="str">
        <f t="shared" si="19"/>
        <v>R21 Batt + R5 ci, 3.5' depth</v>
      </c>
      <c r="J190" s="961">
        <v>0.03</v>
      </c>
      <c r="K190" s="961">
        <v>0.63200000000000001</v>
      </c>
      <c r="L190" s="958" t="str">
        <f t="shared" si="20"/>
        <v>R21 Batt + R5 ci, 7' depth</v>
      </c>
      <c r="M190" s="961">
        <v>2.7E-2</v>
      </c>
      <c r="N190" s="962">
        <v>0.56000000000000005</v>
      </c>
    </row>
    <row r="191" spans="1:14" ht="14.1" hidden="1" customHeight="1">
      <c r="A191" s="25">
        <f t="shared" si="6"/>
        <v>33</v>
      </c>
      <c r="C191" s="895" t="s">
        <v>2929</v>
      </c>
      <c r="D191" s="460" t="s">
        <v>91</v>
      </c>
      <c r="E191" s="896" t="s">
        <v>2593</v>
      </c>
      <c r="F191" s="955" t="str">
        <f t="shared" si="18"/>
        <v>R21 Batt + R5 ci w/TB, 2' depth</v>
      </c>
      <c r="G191" s="959">
        <v>3.2000000000000001E-2</v>
      </c>
      <c r="H191" s="960">
        <v>0.59</v>
      </c>
      <c r="I191" s="956" t="str">
        <f t="shared" si="19"/>
        <v>R21 Batt + R5 ci w/TB, 3.5' depth</v>
      </c>
      <c r="J191" s="961">
        <v>3.1E-2</v>
      </c>
      <c r="K191" s="961">
        <v>0.56000000000000005</v>
      </c>
      <c r="L191" s="958" t="str">
        <f t="shared" si="20"/>
        <v>R21 Batt + R5 ci w/TB, 7' depth</v>
      </c>
      <c r="M191" s="961">
        <v>2.8000000000000001E-2</v>
      </c>
      <c r="N191" s="962">
        <v>0.51</v>
      </c>
    </row>
    <row r="192" spans="1:14" ht="14.1" hidden="1" customHeight="1">
      <c r="A192" s="25">
        <f t="shared" si="6"/>
        <v>34</v>
      </c>
      <c r="C192" s="895" t="s">
        <v>2930</v>
      </c>
      <c r="D192" s="460" t="s">
        <v>91</v>
      </c>
      <c r="E192" s="896" t="s">
        <v>2593</v>
      </c>
      <c r="F192" s="955" t="str">
        <f t="shared" si="18"/>
        <v>R21 Batt + R7 ci, 2' depth</v>
      </c>
      <c r="G192" s="959">
        <v>2.9000000000000001E-2</v>
      </c>
      <c r="H192" s="960">
        <v>0.68</v>
      </c>
      <c r="I192" s="956" t="str">
        <f t="shared" si="19"/>
        <v>R21 Batt + R7 ci, 3.5' depth</v>
      </c>
      <c r="J192" s="961">
        <v>2.7E-2</v>
      </c>
      <c r="K192" s="961">
        <v>0.63</v>
      </c>
      <c r="L192" s="958" t="str">
        <f t="shared" si="20"/>
        <v>R21 Batt + R7 ci, 7' depth</v>
      </c>
      <c r="M192" s="961">
        <v>2.5000000000000001E-2</v>
      </c>
      <c r="N192" s="962">
        <v>0.56999999999999995</v>
      </c>
    </row>
    <row r="193" spans="1:14" ht="14.1" hidden="1" customHeight="1">
      <c r="A193" s="25">
        <f t="shared" si="6"/>
        <v>35</v>
      </c>
      <c r="C193" s="895" t="s">
        <v>2931</v>
      </c>
      <c r="D193" s="460" t="s">
        <v>91</v>
      </c>
      <c r="E193" s="896" t="s">
        <v>2593</v>
      </c>
      <c r="F193" s="955" t="str">
        <f t="shared" si="18"/>
        <v>R21 Batt + R7 ci w/TB, 2' depth</v>
      </c>
      <c r="G193" s="959">
        <v>0.03</v>
      </c>
      <c r="H193" s="960">
        <v>0.59</v>
      </c>
      <c r="I193" s="956" t="str">
        <f t="shared" si="19"/>
        <v>R21 Batt + R7 ci w/TB, 3.5' depth</v>
      </c>
      <c r="J193" s="961">
        <v>2.9000000000000001E-2</v>
      </c>
      <c r="K193" s="961">
        <v>0.56000000000000005</v>
      </c>
      <c r="L193" s="958" t="str">
        <f t="shared" si="20"/>
        <v>R21 Batt + R7 ci w/TB, 7' depth</v>
      </c>
      <c r="M193" s="961">
        <v>2.5999999999999999E-2</v>
      </c>
      <c r="N193" s="962">
        <v>0.56999999999999995</v>
      </c>
    </row>
    <row r="194" spans="1:14" ht="14.1" hidden="1" customHeight="1">
      <c r="A194" s="25">
        <f t="shared" si="6"/>
        <v>36</v>
      </c>
      <c r="C194" s="895" t="s">
        <v>2932</v>
      </c>
      <c r="D194" s="873" t="s">
        <v>2164</v>
      </c>
      <c r="E194" s="897" t="s">
        <v>2594</v>
      </c>
      <c r="F194" s="955" t="str">
        <f t="shared" si="18"/>
        <v>R21 Batt + R5 ci R10 Fully Underslab, 2' depth</v>
      </c>
      <c r="G194" s="959">
        <v>3.1E-2</v>
      </c>
      <c r="H194" s="960">
        <v>0.35</v>
      </c>
      <c r="I194" s="956" t="str">
        <f t="shared" si="19"/>
        <v>R21 Batt + R5 ci R10 Fully Underslab, 3.5' depth</v>
      </c>
      <c r="J194" s="961">
        <v>3.2000000000000001E-2</v>
      </c>
      <c r="K194" s="961">
        <v>0.33300000000000002</v>
      </c>
      <c r="L194" s="958" t="str">
        <f t="shared" si="20"/>
        <v>R21 Batt + R5 ci R10 Fully Underslab, 7' depth</v>
      </c>
      <c r="M194" s="961">
        <v>2.9000000000000001E-2</v>
      </c>
      <c r="N194" s="962">
        <v>0.307</v>
      </c>
    </row>
    <row r="195" spans="1:14" ht="14.1" hidden="1" customHeight="1">
      <c r="A195" s="25">
        <f t="shared" si="6"/>
        <v>37</v>
      </c>
      <c r="C195" s="895" t="s">
        <v>2933</v>
      </c>
      <c r="D195" s="873" t="s">
        <v>2164</v>
      </c>
      <c r="E195" s="897" t="s">
        <v>2594</v>
      </c>
      <c r="F195" s="955" t="str">
        <f t="shared" si="18"/>
        <v>R25 Batt w/TB, 2' depth</v>
      </c>
      <c r="G195" s="959">
        <v>3.7999999999999999E-2</v>
      </c>
      <c r="H195" s="960">
        <v>0.59299999999999997</v>
      </c>
      <c r="I195" s="956" t="str">
        <f t="shared" si="19"/>
        <v>R25 Batt w/TB, 3.5' depth</v>
      </c>
      <c r="J195" s="961">
        <v>3.5999999999999997E-2</v>
      </c>
      <c r="K195" s="961">
        <v>0.55700000000000005</v>
      </c>
      <c r="L195" s="958" t="str">
        <f t="shared" si="20"/>
        <v>R25 Batt w/TB, 7' depth</v>
      </c>
      <c r="M195" s="961">
        <v>3.2000000000000001E-2</v>
      </c>
      <c r="N195" s="962">
        <v>0.505</v>
      </c>
    </row>
    <row r="196" spans="1:14" ht="14.1" hidden="1" customHeight="1">
      <c r="A196" s="25">
        <f t="shared" si="6"/>
        <v>38</v>
      </c>
      <c r="C196" s="895" t="s">
        <v>2934</v>
      </c>
      <c r="D196" s="873" t="s">
        <v>2164</v>
      </c>
      <c r="E196" s="897" t="s">
        <v>2594</v>
      </c>
      <c r="F196" s="955" t="str">
        <f t="shared" si="18"/>
        <v>R25 Batt w/TB, R10 Full Underslab, 2' depth</v>
      </c>
      <c r="G196" s="959">
        <v>0.04</v>
      </c>
      <c r="H196" s="960">
        <v>0.35</v>
      </c>
      <c r="I196" s="956" t="str">
        <f t="shared" si="19"/>
        <v>R25 Batt w/TB, R10 Full Underslab, 3.5' depth</v>
      </c>
      <c r="J196" s="961">
        <v>3.7999999999999999E-2</v>
      </c>
      <c r="K196" s="961">
        <v>0.33100000000000002</v>
      </c>
      <c r="L196" s="958" t="str">
        <f t="shared" si="20"/>
        <v>R25 Batt w/TB, R10 Full Underslab, 7' depth</v>
      </c>
      <c r="M196" s="961">
        <v>3.4000000000000002E-2</v>
      </c>
      <c r="N196" s="962">
        <v>0.30399999999999999</v>
      </c>
    </row>
    <row r="197" spans="1:14" ht="14.1" hidden="1" customHeight="1">
      <c r="C197" s="938" t="str">
        <f>'Below Grade Walls &amp; Slabs'!C119</f>
        <v xml:space="preserve">== Custom Entries per WSEC R402.1.5 U-factor Reference and Calculations ========  </v>
      </c>
      <c r="D197" s="939"/>
      <c r="E197" s="939"/>
      <c r="F197" s="940"/>
      <c r="G197" s="941" t="s">
        <v>606</v>
      </c>
      <c r="H197" s="942" t="s">
        <v>90</v>
      </c>
    </row>
    <row r="198" spans="1:14" ht="14.1" hidden="1" customHeight="1">
      <c r="A198" s="25">
        <f>'Below Grade Walls &amp; Slabs'!A120</f>
        <v>112</v>
      </c>
      <c r="C198" s="928" t="str">
        <f>IF('Below Grade Walls &amp; Slabs'!C120="","",'Below Grade Walls &amp; Slabs'!C120)</f>
        <v/>
      </c>
      <c r="D198" s="929" t="s">
        <v>1679</v>
      </c>
      <c r="E198" s="930"/>
      <c r="F198" s="625"/>
      <c r="G198" s="931">
        <f>'Below Grade Walls &amp; Slabs'!$E120</f>
        <v>0</v>
      </c>
      <c r="H198" s="932">
        <f>'Below Grade Walls &amp; Slabs'!$F120</f>
        <v>0</v>
      </c>
    </row>
    <row r="199" spans="1:14" ht="14.1" hidden="1" customHeight="1">
      <c r="A199" s="25">
        <f>'Below Grade Walls &amp; Slabs'!A121</f>
        <v>113</v>
      </c>
      <c r="C199" s="933" t="str">
        <f>IF('Below Grade Walls &amp; Slabs'!C121="","",'Below Grade Walls &amp; Slabs'!C121)</f>
        <v/>
      </c>
      <c r="D199" s="150" t="s">
        <v>1679</v>
      </c>
      <c r="E199" s="25"/>
      <c r="F199" s="26"/>
      <c r="G199" s="27">
        <f>'Below Grade Walls &amp; Slabs'!$E121</f>
        <v>0</v>
      </c>
      <c r="H199" s="934">
        <f>'Below Grade Walls &amp; Slabs'!$F121</f>
        <v>0</v>
      </c>
    </row>
    <row r="200" spans="1:14" ht="14.1" hidden="1" customHeight="1">
      <c r="A200" s="25">
        <f>'Below Grade Walls &amp; Slabs'!A122</f>
        <v>114</v>
      </c>
      <c r="C200" s="933" t="str">
        <f>IF('Below Grade Walls &amp; Slabs'!C122="","",'Below Grade Walls &amp; Slabs'!C122)</f>
        <v/>
      </c>
      <c r="D200" s="150" t="s">
        <v>1679</v>
      </c>
      <c r="E200" s="25"/>
      <c r="F200" s="26"/>
      <c r="G200" s="27">
        <f>'Below Grade Walls &amp; Slabs'!$E122</f>
        <v>0</v>
      </c>
      <c r="H200" s="934">
        <f>'Below Grade Walls &amp; Slabs'!$F122</f>
        <v>0</v>
      </c>
    </row>
    <row r="201" spans="1:14" ht="14.1" hidden="1" customHeight="1">
      <c r="A201" s="25">
        <f>'Below Grade Walls &amp; Slabs'!A123</f>
        <v>115</v>
      </c>
      <c r="C201" s="933" t="str">
        <f>IF('Below Grade Walls &amp; Slabs'!C123="","",'Below Grade Walls &amp; Slabs'!C123)</f>
        <v/>
      </c>
      <c r="D201" s="150" t="s">
        <v>1679</v>
      </c>
      <c r="E201" s="25"/>
      <c r="F201" s="26"/>
      <c r="G201" s="27">
        <f>'Below Grade Walls &amp; Slabs'!$E123</f>
        <v>0</v>
      </c>
      <c r="H201" s="934">
        <f>'Below Grade Walls &amp; Slabs'!$F123</f>
        <v>0</v>
      </c>
    </row>
    <row r="202" spans="1:14" ht="14.1" hidden="1" customHeight="1">
      <c r="A202" s="25">
        <f>'Below Grade Walls &amp; Slabs'!A124</f>
        <v>116</v>
      </c>
      <c r="C202" s="933" t="str">
        <f>IF('Below Grade Walls &amp; Slabs'!C124="","",'Below Grade Walls &amp; Slabs'!C124)</f>
        <v/>
      </c>
      <c r="D202" s="150" t="s">
        <v>1679</v>
      </c>
      <c r="E202" s="25"/>
      <c r="F202" s="26"/>
      <c r="G202" s="27">
        <f>'Below Grade Walls &amp; Slabs'!$E124</f>
        <v>0</v>
      </c>
      <c r="H202" s="934">
        <f>'Below Grade Walls &amp; Slabs'!$F124</f>
        <v>0</v>
      </c>
    </row>
    <row r="203" spans="1:14" ht="14.1" hidden="1" customHeight="1">
      <c r="A203" s="25">
        <f>'Below Grade Walls &amp; Slabs'!A125</f>
        <v>117</v>
      </c>
      <c r="C203" s="933" t="str">
        <f>IF('Below Grade Walls &amp; Slabs'!C125="","",'Below Grade Walls &amp; Slabs'!C125)</f>
        <v/>
      </c>
      <c r="D203" s="150" t="s">
        <v>1679</v>
      </c>
      <c r="E203" s="25"/>
      <c r="F203" s="26"/>
      <c r="G203" s="27">
        <f>'Below Grade Walls &amp; Slabs'!$E125</f>
        <v>0</v>
      </c>
      <c r="H203" s="934">
        <f>'Below Grade Walls &amp; Slabs'!$F125</f>
        <v>0</v>
      </c>
    </row>
    <row r="204" spans="1:14" ht="14.1" hidden="1" customHeight="1">
      <c r="A204" s="25">
        <f>'Below Grade Walls &amp; Slabs'!A126</f>
        <v>118</v>
      </c>
      <c r="C204" s="933" t="str">
        <f>IF('Below Grade Walls &amp; Slabs'!C126="","",'Below Grade Walls &amp; Slabs'!C126)</f>
        <v/>
      </c>
      <c r="D204" s="150" t="s">
        <v>1679</v>
      </c>
      <c r="E204" s="25"/>
      <c r="F204" s="26"/>
      <c r="G204" s="27">
        <f>'Below Grade Walls &amp; Slabs'!$E126</f>
        <v>0</v>
      </c>
      <c r="H204" s="934">
        <f>'Below Grade Walls &amp; Slabs'!$F126</f>
        <v>0</v>
      </c>
    </row>
    <row r="205" spans="1:14" ht="14.1" hidden="1" customHeight="1">
      <c r="A205" s="25">
        <f>'Below Grade Walls &amp; Slabs'!A127</f>
        <v>119</v>
      </c>
      <c r="C205" s="933" t="str">
        <f>IF('Below Grade Walls &amp; Slabs'!C127="","",'Below Grade Walls &amp; Slabs'!C127)</f>
        <v/>
      </c>
      <c r="D205" s="150" t="s">
        <v>1679</v>
      </c>
      <c r="E205" s="25"/>
      <c r="F205" s="26"/>
      <c r="G205" s="27">
        <f>'Below Grade Walls &amp; Slabs'!$E127</f>
        <v>0</v>
      </c>
      <c r="H205" s="934">
        <f>'Below Grade Walls &amp; Slabs'!$F127</f>
        <v>0</v>
      </c>
    </row>
    <row r="206" spans="1:14" ht="14.1" hidden="1" customHeight="1">
      <c r="C206" s="935" t="s">
        <v>2954</v>
      </c>
      <c r="D206" s="936"/>
      <c r="E206" s="936"/>
      <c r="F206" s="936"/>
      <c r="G206" s="936"/>
      <c r="H206" s="937"/>
    </row>
    <row r="207" spans="1:14" ht="14.1" hidden="1" customHeight="1">
      <c r="C207" s="25"/>
      <c r="D207" s="25"/>
      <c r="E207" s="25"/>
      <c r="F207" s="26"/>
      <c r="G207" s="27"/>
      <c r="H207" s="28"/>
    </row>
    <row r="208" spans="1:14" ht="14.1" hidden="1" customHeight="1">
      <c r="C208" s="25"/>
      <c r="D208" s="25"/>
      <c r="E208" s="25"/>
      <c r="F208" s="26"/>
      <c r="G208" s="27"/>
      <c r="H208" s="28"/>
    </row>
    <row r="209" spans="1:18" ht="14.1" hidden="1" customHeight="1">
      <c r="C209" s="25"/>
      <c r="D209" s="25"/>
      <c r="E209" s="25"/>
      <c r="F209" s="26"/>
    </row>
    <row r="210" spans="1:18" ht="14.1" hidden="1" customHeight="1">
      <c r="C210" s="25"/>
      <c r="D210" s="26"/>
      <c r="F210" s="27"/>
      <c r="G210" s="28"/>
    </row>
    <row r="211" spans="1:18" ht="14.1" hidden="1" customHeight="1">
      <c r="C211" s="25"/>
      <c r="D211" s="26"/>
      <c r="F211" s="27"/>
      <c r="G211" s="28"/>
    </row>
    <row r="212" spans="1:18" ht="14.1" hidden="1" customHeight="1">
      <c r="C212" s="25"/>
      <c r="D212" s="26"/>
      <c r="F212" s="27"/>
      <c r="G212" s="28"/>
    </row>
    <row r="213" spans="1:18" ht="14.1" customHeight="1">
      <c r="A213" s="964"/>
      <c r="B213" s="964"/>
      <c r="C213" s="964"/>
      <c r="D213" s="965"/>
      <c r="E213" s="966"/>
      <c r="F213" s="966"/>
      <c r="G213" s="967"/>
      <c r="H213" s="965"/>
      <c r="I213" s="965"/>
      <c r="J213" s="965"/>
      <c r="K213" s="965"/>
      <c r="L213" s="965"/>
      <c r="M213" s="965"/>
      <c r="N213" s="965"/>
      <c r="O213" s="965"/>
      <c r="P213" s="965"/>
      <c r="Q213" s="965"/>
      <c r="R213" s="965"/>
    </row>
    <row r="214" spans="1:18" ht="14.1" customHeight="1">
      <c r="C214" s="25"/>
      <c r="D214" s="26"/>
      <c r="F214" s="27"/>
      <c r="G214" s="28"/>
    </row>
    <row r="215" spans="1:18" ht="14.1" customHeight="1">
      <c r="C215" s="25"/>
      <c r="D215" s="26"/>
      <c r="F215" s="27"/>
      <c r="G215" s="28"/>
    </row>
    <row r="216" spans="1:18" ht="14.1" customHeight="1">
      <c r="C216" s="25"/>
      <c r="D216" s="26"/>
      <c r="F216" s="27"/>
      <c r="G216" s="28"/>
    </row>
    <row r="217" spans="1:18" ht="14.1" customHeight="1">
      <c r="C217" s="25"/>
      <c r="D217" s="26"/>
      <c r="F217" s="27"/>
      <c r="G217" s="28"/>
    </row>
    <row r="218" spans="1:18" ht="14.1" customHeight="1">
      <c r="C218" s="25"/>
      <c r="D218" s="26"/>
      <c r="F218" s="27"/>
      <c r="G218" s="28"/>
    </row>
  </sheetData>
  <sheetProtection algorithmName="SHA-512" hashValue="AKdy7t/+qM69auSLbnwmdIDmTSk0HbrwZ9/xCtB0BRpVfA3cJTLEZJjgFSRfB505nncguBSDOUx4y1h1LbuJJQ==" saltValue="SX+Y6ByRewUfRycLK6lyjA==" spinCount="100000" sheet="1" objects="1" scenarios="1" insertHyperlinks="0" selectLockedCells="1" pivotTables="0"/>
  <customSheetViews>
    <customSheetView guid="{3A20BFFC-9D9E-415D-AC5D-1CC81DA9B04C}">
      <pane ySplit="1" topLeftCell="A2" activePane="bottomLeft" state="frozen"/>
      <selection pane="bottomLeft" activeCell="A2" sqref="A2"/>
      <pageMargins left="0.75" right="0.75" top="1" bottom="1" header="0.5" footer="0.5"/>
      <pageSetup orientation="portrait" r:id="rId1"/>
      <headerFooter alignWithMargins="0"/>
    </customSheetView>
  </customSheetViews>
  <phoneticPr fontId="0" type="noConversion"/>
  <conditionalFormatting sqref="F88">
    <cfRule type="cellIs" dxfId="5" priority="49" operator="lessThanOrEqual">
      <formula>0.42</formula>
    </cfRule>
  </conditionalFormatting>
  <conditionalFormatting sqref="F58">
    <cfRule type="cellIs" dxfId="4" priority="8" operator="lessThanOrEqual">
      <formula>0.42</formula>
    </cfRule>
  </conditionalFormatting>
  <conditionalFormatting sqref="F59">
    <cfRule type="cellIs" dxfId="3" priority="5" operator="lessThanOrEqual">
      <formula>0.42</formula>
    </cfRule>
  </conditionalFormatting>
  <conditionalFormatting sqref="F89">
    <cfRule type="cellIs" dxfId="2" priority="4" operator="lessThanOrEqual">
      <formula>0.42</formula>
    </cfRule>
  </conditionalFormatting>
  <conditionalFormatting sqref="F60:F87">
    <cfRule type="cellIs" dxfId="1" priority="2" operator="lessThanOrEqual">
      <formula>0.42</formula>
    </cfRule>
  </conditionalFormatting>
  <conditionalFormatting sqref="F90:F118">
    <cfRule type="cellIs" dxfId="0" priority="1" operator="lessThanOrEqual">
      <formula>0.42</formula>
    </cfRule>
  </conditionalFormatting>
  <hyperlinks>
    <hyperlink ref="G1" location="'Terms of Use'!A1" display="(C) 2017" xr:uid="{00000000-0004-0000-0D00-000000000000}"/>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Go_to_TopOfBelowGradeSlabsInput">
                <anchor moveWithCells="1">
                  <from>
                    <xdr:col>4</xdr:col>
                    <xdr:colOff>47625</xdr:colOff>
                    <xdr:row>118</xdr:row>
                    <xdr:rowOff>66675</xdr:rowOff>
                  </from>
                  <to>
                    <xdr:col>5</xdr:col>
                    <xdr:colOff>723900</xdr:colOff>
                    <xdr:row>118</xdr:row>
                    <xdr:rowOff>352425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le406">
    <tabColor theme="0"/>
  </sheetPr>
  <dimension ref="A1:R121"/>
  <sheetViews>
    <sheetView zoomScaleNormal="100" workbookViewId="0"/>
  </sheetViews>
  <sheetFormatPr defaultColWidth="9.140625" defaultRowHeight="15.75"/>
  <cols>
    <col min="1" max="1" width="47.7109375" style="60" customWidth="1"/>
    <col min="2" max="2" width="80.7109375" style="62" customWidth="1"/>
    <col min="3" max="3" width="17" style="61" customWidth="1"/>
    <col min="4" max="18" width="9.140625" style="60"/>
  </cols>
  <sheetData>
    <row r="1" spans="1:3" ht="18">
      <c r="A1" s="44" t="s">
        <v>1978</v>
      </c>
      <c r="B1" s="45"/>
      <c r="C1" s="44"/>
    </row>
    <row r="2" spans="1:3" ht="18">
      <c r="A2" s="44"/>
      <c r="B2" s="45"/>
      <c r="C2" s="44"/>
    </row>
    <row r="3" spans="1:3" ht="18.75">
      <c r="A3" s="1247" t="s">
        <v>1981</v>
      </c>
      <c r="B3" s="1247"/>
      <c r="C3" s="1247"/>
    </row>
    <row r="4" spans="1:3" ht="18">
      <c r="A4" s="46"/>
      <c r="B4" s="45"/>
      <c r="C4" s="44"/>
    </row>
    <row r="5" spans="1:3" ht="57.75" customHeight="1" thickBot="1">
      <c r="A5" s="1247" t="s">
        <v>1982</v>
      </c>
      <c r="B5" s="1247"/>
      <c r="C5" s="1247"/>
    </row>
    <row r="6" spans="1:3" ht="18.75">
      <c r="A6" s="57" t="s">
        <v>1983</v>
      </c>
      <c r="B6" s="48" t="s">
        <v>1979</v>
      </c>
      <c r="C6" s="49"/>
    </row>
    <row r="7" spans="1:3" ht="19.5" customHeight="1">
      <c r="A7" s="1248" t="s">
        <v>2027</v>
      </c>
      <c r="B7" s="1249"/>
      <c r="C7" s="1250"/>
    </row>
    <row r="8" spans="1:3" ht="18.75">
      <c r="A8" s="1243" t="s">
        <v>2028</v>
      </c>
      <c r="B8" s="1244"/>
      <c r="C8" s="1245"/>
    </row>
    <row r="9" spans="1:3" ht="18.75">
      <c r="A9" s="58" t="s">
        <v>1984</v>
      </c>
      <c r="B9" s="52" t="s">
        <v>2040</v>
      </c>
      <c r="C9" s="56"/>
    </row>
    <row r="10" spans="1:3" ht="18.75">
      <c r="A10" s="1243" t="s">
        <v>2029</v>
      </c>
      <c r="B10" s="1244"/>
      <c r="C10" s="1245"/>
    </row>
    <row r="11" spans="1:3" ht="18.75">
      <c r="A11" s="1240" t="s">
        <v>2030</v>
      </c>
      <c r="B11" s="1241"/>
      <c r="C11" s="1242"/>
    </row>
    <row r="12" spans="1:3" ht="18.75">
      <c r="A12" s="58" t="s">
        <v>1985</v>
      </c>
      <c r="B12" s="52" t="s">
        <v>2041</v>
      </c>
      <c r="C12" s="56"/>
    </row>
    <row r="13" spans="1:3" ht="18.75">
      <c r="A13" s="1243" t="s">
        <v>2031</v>
      </c>
      <c r="B13" s="1244"/>
      <c r="C13" s="1245"/>
    </row>
    <row r="14" spans="1:3" ht="18.75">
      <c r="A14" s="1240" t="s">
        <v>2032</v>
      </c>
      <c r="B14" s="1241"/>
      <c r="C14" s="1242"/>
    </row>
    <row r="15" spans="1:3" ht="19.5" thickBot="1">
      <c r="A15" s="59" t="s">
        <v>1986</v>
      </c>
      <c r="B15" s="50" t="s">
        <v>1980</v>
      </c>
      <c r="C15" s="51"/>
    </row>
    <row r="16" spans="1:3" ht="11.25" customHeight="1">
      <c r="A16" s="47"/>
      <c r="B16" s="52"/>
      <c r="C16" s="44"/>
    </row>
    <row r="17" spans="1:3" ht="38.25" customHeight="1" thickBot="1">
      <c r="A17" s="1246" t="s">
        <v>2033</v>
      </c>
      <c r="B17" s="1246"/>
      <c r="C17" s="1246"/>
    </row>
    <row r="18" spans="1:3">
      <c r="A18" s="1234" t="s">
        <v>436</v>
      </c>
      <c r="B18" s="67" t="s">
        <v>1921</v>
      </c>
      <c r="C18" s="1236">
        <v>0.5</v>
      </c>
    </row>
    <row r="19" spans="1:3">
      <c r="A19" s="1230"/>
      <c r="B19" s="64" t="s">
        <v>1922</v>
      </c>
      <c r="C19" s="1232"/>
    </row>
    <row r="20" spans="1:3">
      <c r="A20" s="1230"/>
      <c r="B20" s="64" t="s">
        <v>1987</v>
      </c>
      <c r="C20" s="1232"/>
    </row>
    <row r="21" spans="1:3">
      <c r="A21" s="1230"/>
      <c r="B21" s="64" t="s">
        <v>1923</v>
      </c>
      <c r="C21" s="1232"/>
    </row>
    <row r="22" spans="1:3">
      <c r="A22" s="1230"/>
      <c r="B22" s="64" t="s">
        <v>1924</v>
      </c>
      <c r="C22" s="1232"/>
    </row>
    <row r="23" spans="1:3">
      <c r="A23" s="1230"/>
      <c r="B23" s="64" t="s">
        <v>1925</v>
      </c>
      <c r="C23" s="1232"/>
    </row>
    <row r="24" spans="1:3">
      <c r="A24" s="1230"/>
      <c r="B24" s="65" t="s">
        <v>443</v>
      </c>
      <c r="C24" s="1232"/>
    </row>
    <row r="25" spans="1:3">
      <c r="A25" s="1235"/>
      <c r="B25" s="66" t="s">
        <v>1926</v>
      </c>
      <c r="C25" s="1237"/>
    </row>
    <row r="26" spans="1:3">
      <c r="A26" s="1238" t="s">
        <v>437</v>
      </c>
      <c r="B26" s="63" t="s">
        <v>1927</v>
      </c>
      <c r="C26" s="1239">
        <v>1</v>
      </c>
    </row>
    <row r="27" spans="1:3">
      <c r="A27" s="1230"/>
      <c r="B27" s="64" t="s">
        <v>1922</v>
      </c>
      <c r="C27" s="1232"/>
    </row>
    <row r="28" spans="1:3">
      <c r="A28" s="1230"/>
      <c r="B28" s="64" t="s">
        <v>1988</v>
      </c>
      <c r="C28" s="1232"/>
    </row>
    <row r="29" spans="1:3">
      <c r="A29" s="1230"/>
      <c r="B29" s="64" t="s">
        <v>1928</v>
      </c>
      <c r="C29" s="1232"/>
    </row>
    <row r="30" spans="1:3">
      <c r="A30" s="1230"/>
      <c r="B30" s="64" t="s">
        <v>1929</v>
      </c>
      <c r="C30" s="1232"/>
    </row>
    <row r="31" spans="1:3">
      <c r="A31" s="1230"/>
      <c r="B31" s="64" t="s">
        <v>1930</v>
      </c>
      <c r="C31" s="1232"/>
    </row>
    <row r="32" spans="1:3">
      <c r="A32" s="1230"/>
      <c r="B32" s="64" t="s">
        <v>1924</v>
      </c>
      <c r="C32" s="1232"/>
    </row>
    <row r="33" spans="1:3">
      <c r="A33" s="1230"/>
      <c r="B33" s="64" t="s">
        <v>1925</v>
      </c>
      <c r="C33" s="1232"/>
    </row>
    <row r="34" spans="1:3">
      <c r="A34" s="1230"/>
      <c r="B34" s="65" t="s">
        <v>443</v>
      </c>
      <c r="C34" s="1232"/>
    </row>
    <row r="35" spans="1:3">
      <c r="A35" s="1235"/>
      <c r="B35" s="66" t="s">
        <v>1931</v>
      </c>
      <c r="C35" s="1237"/>
    </row>
    <row r="36" spans="1:3">
      <c r="A36" s="1238" t="s">
        <v>438</v>
      </c>
      <c r="B36" s="63" t="s">
        <v>1932</v>
      </c>
      <c r="C36" s="1239">
        <v>2</v>
      </c>
    </row>
    <row r="37" spans="1:3" ht="31.5">
      <c r="A37" s="1230"/>
      <c r="B37" s="64" t="s">
        <v>1989</v>
      </c>
      <c r="C37" s="1232"/>
    </row>
    <row r="38" spans="1:3">
      <c r="A38" s="1230"/>
      <c r="B38" s="64" t="s">
        <v>1933</v>
      </c>
      <c r="C38" s="1232"/>
    </row>
    <row r="39" spans="1:3">
      <c r="A39" s="1230"/>
      <c r="B39" s="64" t="s">
        <v>1934</v>
      </c>
      <c r="C39" s="1232"/>
    </row>
    <row r="40" spans="1:3">
      <c r="A40" s="1230"/>
      <c r="B40" s="64" t="s">
        <v>1923</v>
      </c>
      <c r="C40" s="1232"/>
    </row>
    <row r="41" spans="1:3">
      <c r="A41" s="1230"/>
      <c r="B41" s="64" t="s">
        <v>1935</v>
      </c>
      <c r="C41" s="1232"/>
    </row>
    <row r="42" spans="1:3">
      <c r="A42" s="1230"/>
      <c r="B42" s="64" t="s">
        <v>1924</v>
      </c>
      <c r="C42" s="1232"/>
    </row>
    <row r="43" spans="1:3">
      <c r="A43" s="1230"/>
      <c r="B43" s="64" t="s">
        <v>1925</v>
      </c>
      <c r="C43" s="1232"/>
    </row>
    <row r="44" spans="1:3">
      <c r="A44" s="1230"/>
      <c r="B44" s="65" t="s">
        <v>443</v>
      </c>
      <c r="C44" s="1232"/>
    </row>
    <row r="45" spans="1:3">
      <c r="A45" s="1235"/>
      <c r="B45" s="66" t="s">
        <v>1936</v>
      </c>
      <c r="C45" s="1237"/>
    </row>
    <row r="46" spans="1:3">
      <c r="A46" s="1230" t="s">
        <v>2019</v>
      </c>
      <c r="B46" s="64" t="s">
        <v>1990</v>
      </c>
      <c r="C46" s="1232">
        <v>0.5</v>
      </c>
    </row>
    <row r="47" spans="1:3">
      <c r="A47" s="1230"/>
      <c r="B47" s="64" t="s">
        <v>1991</v>
      </c>
      <c r="C47" s="1232"/>
    </row>
    <row r="48" spans="1:3" ht="16.5" thickBot="1">
      <c r="A48" s="1231"/>
      <c r="B48" s="68" t="s">
        <v>1992</v>
      </c>
      <c r="C48" s="1233"/>
    </row>
    <row r="49" spans="1:3">
      <c r="A49" s="1234" t="s">
        <v>1937</v>
      </c>
      <c r="B49" s="67" t="s">
        <v>1938</v>
      </c>
      <c r="C49" s="1236">
        <v>0.5</v>
      </c>
    </row>
    <row r="50" spans="1:3" ht="31.5">
      <c r="A50" s="1230"/>
      <c r="B50" s="64" t="s">
        <v>1993</v>
      </c>
      <c r="C50" s="1232"/>
    </row>
    <row r="51" spans="1:3">
      <c r="A51" s="1230"/>
      <c r="B51" s="65" t="s">
        <v>446</v>
      </c>
      <c r="C51" s="1232"/>
    </row>
    <row r="52" spans="1:3" ht="78.75">
      <c r="A52" s="1230"/>
      <c r="B52" s="64" t="s">
        <v>2015</v>
      </c>
      <c r="C52" s="1232"/>
    </row>
    <row r="53" spans="1:3" ht="47.25">
      <c r="A53" s="1235"/>
      <c r="B53" s="66" t="s">
        <v>1994</v>
      </c>
      <c r="C53" s="1237"/>
    </row>
    <row r="54" spans="1:3">
      <c r="A54" s="1238" t="s">
        <v>1939</v>
      </c>
      <c r="B54" s="63" t="s">
        <v>1940</v>
      </c>
      <c r="C54" s="1239">
        <v>1</v>
      </c>
    </row>
    <row r="55" spans="1:3" ht="31.5">
      <c r="A55" s="1230"/>
      <c r="B55" s="64" t="s">
        <v>1941</v>
      </c>
      <c r="C55" s="1232"/>
    </row>
    <row r="56" spans="1:3">
      <c r="A56" s="1230"/>
      <c r="B56" s="65" t="s">
        <v>446</v>
      </c>
      <c r="C56" s="1232"/>
    </row>
    <row r="57" spans="1:3" ht="47.25">
      <c r="A57" s="1230"/>
      <c r="B57" s="64" t="s">
        <v>2016</v>
      </c>
      <c r="C57" s="1232"/>
    </row>
    <row r="58" spans="1:3" ht="47.25">
      <c r="A58" s="1235"/>
      <c r="B58" s="66" t="s">
        <v>1942</v>
      </c>
      <c r="C58" s="1237"/>
    </row>
    <row r="59" spans="1:3">
      <c r="A59" s="1238" t="s">
        <v>1943</v>
      </c>
      <c r="B59" s="63" t="s">
        <v>1944</v>
      </c>
      <c r="C59" s="1239">
        <v>1.5</v>
      </c>
    </row>
    <row r="60" spans="1:3" ht="31.5">
      <c r="A60" s="1230"/>
      <c r="B60" s="64" t="s">
        <v>1945</v>
      </c>
      <c r="C60" s="1232"/>
    </row>
    <row r="61" spans="1:3">
      <c r="A61" s="1230"/>
      <c r="B61" s="65" t="s">
        <v>446</v>
      </c>
      <c r="C61" s="1232"/>
    </row>
    <row r="62" spans="1:3" ht="47.25">
      <c r="A62" s="1230"/>
      <c r="B62" s="64" t="s">
        <v>2017</v>
      </c>
      <c r="C62" s="1232"/>
    </row>
    <row r="63" spans="1:3" ht="48" thickBot="1">
      <c r="A63" s="1231"/>
      <c r="B63" s="68" t="s">
        <v>1942</v>
      </c>
      <c r="C63" s="1233"/>
    </row>
    <row r="64" spans="1:3">
      <c r="A64" s="1234" t="s">
        <v>2020</v>
      </c>
      <c r="B64" s="67" t="s">
        <v>1946</v>
      </c>
      <c r="C64" s="1236">
        <v>1</v>
      </c>
    </row>
    <row r="65" spans="1:3">
      <c r="A65" s="1230"/>
      <c r="B65" s="64" t="s">
        <v>1995</v>
      </c>
      <c r="C65" s="1232"/>
    </row>
    <row r="66" spans="1:3">
      <c r="A66" s="1230"/>
      <c r="B66" s="64" t="s">
        <v>1996</v>
      </c>
      <c r="C66" s="1232"/>
    </row>
    <row r="67" spans="1:3" ht="47.25">
      <c r="A67" s="1235"/>
      <c r="B67" s="66" t="s">
        <v>1947</v>
      </c>
      <c r="C67" s="1237"/>
    </row>
    <row r="68" spans="1:3">
      <c r="A68" s="1238" t="s">
        <v>2021</v>
      </c>
      <c r="B68" s="63" t="s">
        <v>1948</v>
      </c>
      <c r="C68" s="1239">
        <v>1</v>
      </c>
    </row>
    <row r="69" spans="1:3">
      <c r="A69" s="1230"/>
      <c r="B69" s="64" t="s">
        <v>1997</v>
      </c>
      <c r="C69" s="1232"/>
    </row>
    <row r="70" spans="1:3" ht="47.25">
      <c r="A70" s="1235"/>
      <c r="B70" s="66" t="s">
        <v>1947</v>
      </c>
      <c r="C70" s="1237"/>
    </row>
    <row r="71" spans="1:3">
      <c r="A71" s="1238" t="s">
        <v>2022</v>
      </c>
      <c r="B71" s="63" t="s">
        <v>1949</v>
      </c>
      <c r="C71" s="1239">
        <v>1.5</v>
      </c>
    </row>
    <row r="72" spans="1:3">
      <c r="A72" s="1230"/>
      <c r="B72" s="64" t="s">
        <v>1950</v>
      </c>
      <c r="C72" s="1232"/>
    </row>
    <row r="73" spans="1:3">
      <c r="A73" s="1230"/>
      <c r="B73" s="65" t="s">
        <v>443</v>
      </c>
      <c r="C73" s="1232"/>
    </row>
    <row r="74" spans="1:3" ht="31.5">
      <c r="A74" s="1230"/>
      <c r="B74" s="64" t="s">
        <v>1951</v>
      </c>
      <c r="C74" s="1232"/>
    </row>
    <row r="75" spans="1:3" ht="47.25">
      <c r="A75" s="1235"/>
      <c r="B75" s="66" t="s">
        <v>1947</v>
      </c>
      <c r="C75" s="1237"/>
    </row>
    <row r="76" spans="1:3">
      <c r="A76" s="1238" t="s">
        <v>2023</v>
      </c>
      <c r="B76" s="63" t="s">
        <v>1952</v>
      </c>
      <c r="C76" s="1239">
        <v>1</v>
      </c>
    </row>
    <row r="77" spans="1:3" ht="47.25">
      <c r="A77" s="1230"/>
      <c r="B77" s="64" t="s">
        <v>1998</v>
      </c>
      <c r="C77" s="1232"/>
    </row>
    <row r="78" spans="1:3" ht="48" thickBot="1">
      <c r="A78" s="1231"/>
      <c r="B78" s="68" t="s">
        <v>1947</v>
      </c>
      <c r="C78" s="1233"/>
    </row>
    <row r="79" spans="1:3">
      <c r="A79" s="1234">
        <v>4</v>
      </c>
      <c r="B79" s="67" t="s">
        <v>1999</v>
      </c>
      <c r="C79" s="1236">
        <v>1</v>
      </c>
    </row>
    <row r="80" spans="1:3" ht="63">
      <c r="A80" s="1230"/>
      <c r="B80" s="64" t="s">
        <v>2000</v>
      </c>
      <c r="C80" s="1232"/>
    </row>
    <row r="81" spans="1:3" ht="94.5">
      <c r="A81" s="1230"/>
      <c r="B81" s="64" t="s">
        <v>2001</v>
      </c>
      <c r="C81" s="1232"/>
    </row>
    <row r="82" spans="1:3" ht="31.5">
      <c r="A82" s="1230"/>
      <c r="B82" s="64" t="s">
        <v>444</v>
      </c>
      <c r="C82" s="1232"/>
    </row>
    <row r="83" spans="1:3">
      <c r="A83" s="1230"/>
      <c r="B83" s="64" t="s">
        <v>2002</v>
      </c>
      <c r="C83" s="1232"/>
    </row>
    <row r="84" spans="1:3" ht="31.5">
      <c r="A84" s="1230"/>
      <c r="B84" s="64" t="s">
        <v>445</v>
      </c>
      <c r="C84" s="1232"/>
    </row>
    <row r="85" spans="1:3" ht="48" thickBot="1">
      <c r="A85" s="1231"/>
      <c r="B85" s="68" t="s">
        <v>1953</v>
      </c>
      <c r="C85" s="1233"/>
    </row>
    <row r="86" spans="1:3">
      <c r="A86" s="1234" t="s">
        <v>439</v>
      </c>
      <c r="B86" s="67" t="s">
        <v>1954</v>
      </c>
      <c r="C86" s="1236">
        <v>0.5</v>
      </c>
    </row>
    <row r="87" spans="1:3" ht="34.5">
      <c r="A87" s="1230"/>
      <c r="B87" s="64" t="s">
        <v>2018</v>
      </c>
      <c r="C87" s="1232"/>
    </row>
    <row r="88" spans="1:3" ht="47.25">
      <c r="A88" s="1235"/>
      <c r="B88" s="66" t="s">
        <v>2003</v>
      </c>
      <c r="C88" s="1237"/>
    </row>
    <row r="89" spans="1:3">
      <c r="A89" s="1238" t="s">
        <v>440</v>
      </c>
      <c r="B89" s="63" t="s">
        <v>1955</v>
      </c>
      <c r="C89" s="1239">
        <v>1</v>
      </c>
    </row>
    <row r="90" spans="1:3">
      <c r="A90" s="1230"/>
      <c r="B90" s="64" t="s">
        <v>447</v>
      </c>
      <c r="C90" s="1232"/>
    </row>
    <row r="91" spans="1:3">
      <c r="A91" s="1230"/>
      <c r="B91" s="64" t="s">
        <v>2004</v>
      </c>
      <c r="C91" s="1232"/>
    </row>
    <row r="92" spans="1:3">
      <c r="A92" s="1230"/>
      <c r="B92" s="65" t="s">
        <v>443</v>
      </c>
      <c r="C92" s="1232"/>
    </row>
    <row r="93" spans="1:3">
      <c r="A93" s="1230"/>
      <c r="B93" s="64" t="s">
        <v>1956</v>
      </c>
      <c r="C93" s="1232"/>
    </row>
    <row r="94" spans="1:3">
      <c r="A94" s="1230"/>
      <c r="B94" s="65" t="s">
        <v>443</v>
      </c>
      <c r="C94" s="1232"/>
    </row>
    <row r="95" spans="1:3" ht="47.25">
      <c r="A95" s="1230"/>
      <c r="B95" s="64" t="s">
        <v>2005</v>
      </c>
      <c r="C95" s="1232"/>
    </row>
    <row r="96" spans="1:3" ht="47.25">
      <c r="A96" s="1235"/>
      <c r="B96" s="66" t="s">
        <v>2006</v>
      </c>
      <c r="C96" s="1237"/>
    </row>
    <row r="97" spans="1:3">
      <c r="A97" s="1238" t="s">
        <v>1976</v>
      </c>
      <c r="B97" s="63" t="s">
        <v>2007</v>
      </c>
      <c r="C97" s="1239">
        <v>1.5</v>
      </c>
    </row>
    <row r="98" spans="1:3">
      <c r="A98" s="1230"/>
      <c r="B98" s="64" t="s">
        <v>447</v>
      </c>
      <c r="C98" s="1232"/>
    </row>
    <row r="99" spans="1:3">
      <c r="A99" s="1230"/>
      <c r="B99" s="64" t="s">
        <v>2008</v>
      </c>
      <c r="C99" s="1232"/>
    </row>
    <row r="100" spans="1:3">
      <c r="A100" s="1230"/>
      <c r="B100" s="65" t="s">
        <v>443</v>
      </c>
      <c r="C100" s="1232"/>
    </row>
    <row r="101" spans="1:3" ht="63">
      <c r="A101" s="1230"/>
      <c r="B101" s="64" t="s">
        <v>2009</v>
      </c>
      <c r="C101" s="1232"/>
    </row>
    <row r="102" spans="1:3">
      <c r="A102" s="1230"/>
      <c r="B102" s="65" t="s">
        <v>443</v>
      </c>
      <c r="C102" s="1232"/>
    </row>
    <row r="103" spans="1:3" ht="31.5">
      <c r="A103" s="1230"/>
      <c r="B103" s="64" t="s">
        <v>2010</v>
      </c>
      <c r="C103" s="1232"/>
    </row>
    <row r="104" spans="1:3" ht="63">
      <c r="A104" s="1235"/>
      <c r="B104" s="66" t="s">
        <v>1957</v>
      </c>
      <c r="C104" s="1237"/>
    </row>
    <row r="105" spans="1:3">
      <c r="A105" s="1238" t="s">
        <v>1977</v>
      </c>
      <c r="B105" s="63" t="s">
        <v>2011</v>
      </c>
      <c r="C105" s="1239">
        <v>0.5</v>
      </c>
    </row>
    <row r="106" spans="1:3" ht="63">
      <c r="A106" s="1230"/>
      <c r="B106" s="64" t="s">
        <v>2012</v>
      </c>
      <c r="C106" s="1232"/>
    </row>
    <row r="107" spans="1:3" ht="63.75" thickBot="1">
      <c r="A107" s="1231"/>
      <c r="B107" s="68" t="s">
        <v>2013</v>
      </c>
      <c r="C107" s="1233"/>
    </row>
    <row r="108" spans="1:3">
      <c r="A108" s="1234">
        <v>6</v>
      </c>
      <c r="B108" s="67" t="s">
        <v>448</v>
      </c>
      <c r="C108" s="1236">
        <v>0.5</v>
      </c>
    </row>
    <row r="109" spans="1:3" ht="47.25">
      <c r="A109" s="1230"/>
      <c r="B109" s="64" t="s">
        <v>2014</v>
      </c>
      <c r="C109" s="1232"/>
    </row>
    <row r="110" spans="1:3" ht="47.25">
      <c r="A110" s="1230"/>
      <c r="B110" s="64" t="s">
        <v>1958</v>
      </c>
      <c r="C110" s="1232"/>
    </row>
    <row r="111" spans="1:3" ht="31.5">
      <c r="A111" s="1230"/>
      <c r="B111" s="64" t="s">
        <v>449</v>
      </c>
      <c r="C111" s="1232"/>
    </row>
    <row r="112" spans="1:3" ht="31.5">
      <c r="A112" s="1230"/>
      <c r="B112" s="64" t="s">
        <v>450</v>
      </c>
      <c r="C112" s="1232"/>
    </row>
    <row r="113" spans="1:3" ht="63.75" thickBot="1">
      <c r="A113" s="1231"/>
      <c r="B113" s="68" t="s">
        <v>1959</v>
      </c>
      <c r="C113" s="1233"/>
    </row>
    <row r="114" spans="1:3">
      <c r="A114" s="69" t="s">
        <v>2037</v>
      </c>
      <c r="B114" s="1251" t="s">
        <v>2034</v>
      </c>
      <c r="C114" s="1252"/>
    </row>
    <row r="115" spans="1:3" ht="45.75" customHeight="1">
      <c r="A115" s="55" t="s">
        <v>2038</v>
      </c>
      <c r="B115" s="1253" t="s">
        <v>2035</v>
      </c>
      <c r="C115" s="1254"/>
    </row>
    <row r="116" spans="1:3" ht="30.75" customHeight="1">
      <c r="A116" s="55" t="s">
        <v>2039</v>
      </c>
      <c r="B116" s="1253" t="s">
        <v>2036</v>
      </c>
      <c r="C116" s="1254"/>
    </row>
    <row r="117" spans="1:3" ht="31.5" customHeight="1">
      <c r="A117" s="53"/>
      <c r="B117" s="1246" t="s">
        <v>2024</v>
      </c>
      <c r="C117" s="1255"/>
    </row>
    <row r="118" spans="1:3" ht="31.5" customHeight="1">
      <c r="A118" s="53"/>
      <c r="B118" s="1246" t="s">
        <v>2025</v>
      </c>
      <c r="C118" s="1255"/>
    </row>
    <row r="119" spans="1:3" ht="31.5" customHeight="1" thickBot="1">
      <c r="A119" s="54"/>
      <c r="B119" s="1256" t="s">
        <v>2026</v>
      </c>
      <c r="C119" s="1257"/>
    </row>
    <row r="120" spans="1:3">
      <c r="B120" s="60"/>
    </row>
    <row r="121" spans="1:3">
      <c r="B121" s="60"/>
    </row>
  </sheetData>
  <sheetProtection formatCells="0" insertHyperlinks="0" selectLockedCells="1" pivotTables="0"/>
  <mergeCells count="49">
    <mergeCell ref="B114:C114"/>
    <mergeCell ref="B115:C115"/>
    <mergeCell ref="B116:C116"/>
    <mergeCell ref="B118:C118"/>
    <mergeCell ref="B119:C119"/>
    <mergeCell ref="B117:C117"/>
    <mergeCell ref="A11:C11"/>
    <mergeCell ref="A13:C13"/>
    <mergeCell ref="A14:C14"/>
    <mergeCell ref="A17:C17"/>
    <mergeCell ref="A3:C3"/>
    <mergeCell ref="A5:C5"/>
    <mergeCell ref="A7:C7"/>
    <mergeCell ref="A8:C8"/>
    <mergeCell ref="A10:C10"/>
    <mergeCell ref="A79:A85"/>
    <mergeCell ref="C79:C85"/>
    <mergeCell ref="A86:A88"/>
    <mergeCell ref="C86:C88"/>
    <mergeCell ref="A89:A96"/>
    <mergeCell ref="C89:C96"/>
    <mergeCell ref="A97:A104"/>
    <mergeCell ref="C97:C104"/>
    <mergeCell ref="A105:A107"/>
    <mergeCell ref="C105:C107"/>
    <mergeCell ref="A108:A113"/>
    <mergeCell ref="C108:C113"/>
    <mergeCell ref="A68:A70"/>
    <mergeCell ref="C68:C70"/>
    <mergeCell ref="A71:A75"/>
    <mergeCell ref="C71:C75"/>
    <mergeCell ref="A76:A78"/>
    <mergeCell ref="C76:C78"/>
    <mergeCell ref="A54:A58"/>
    <mergeCell ref="C54:C58"/>
    <mergeCell ref="A59:A63"/>
    <mergeCell ref="C59:C63"/>
    <mergeCell ref="A64:A67"/>
    <mergeCell ref="C64:C67"/>
    <mergeCell ref="A46:A48"/>
    <mergeCell ref="C46:C48"/>
    <mergeCell ref="A49:A53"/>
    <mergeCell ref="C49:C53"/>
    <mergeCell ref="A18:A25"/>
    <mergeCell ref="C18:C25"/>
    <mergeCell ref="A26:A35"/>
    <mergeCell ref="C26:C35"/>
    <mergeCell ref="A36:A45"/>
    <mergeCell ref="C36:C45"/>
  </mergeCells>
  <phoneticPr fontId="22" type="noConversion"/>
  <pageMargins left="0.7" right="0.7" top="0.75" bottom="0.75" header="0.3" footer="0.3"/>
  <pageSetup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Weather">
    <tabColor theme="0"/>
  </sheetPr>
  <dimension ref="A1:AE240"/>
  <sheetViews>
    <sheetView zoomScaleNormal="100" workbookViewId="0">
      <pane ySplit="5" topLeftCell="A6" activePane="bottomLeft" state="frozen"/>
      <selection activeCell="D18" sqref="D18"/>
      <selection pane="bottomLeft" activeCell="L21" sqref="L21"/>
    </sheetView>
  </sheetViews>
  <sheetFormatPr defaultColWidth="8.7109375" defaultRowHeight="14.1" customHeight="1"/>
  <cols>
    <col min="1" max="1" width="8.7109375" style="14" customWidth="1"/>
    <col min="2" max="2" width="35.7109375" style="15" customWidth="1"/>
    <col min="3" max="3" width="10.5703125" style="32" customWidth="1"/>
    <col min="4" max="4" width="12.7109375" style="33" customWidth="1"/>
    <col min="5" max="5" width="8.7109375" style="17" customWidth="1"/>
    <col min="6" max="16384" width="8.7109375" style="15"/>
  </cols>
  <sheetData>
    <row r="1" spans="1:31" ht="18.75" customHeight="1">
      <c r="A1" s="484" t="s">
        <v>2459</v>
      </c>
      <c r="B1" s="485"/>
      <c r="C1" s="548"/>
      <c r="D1" s="482"/>
      <c r="E1" s="482"/>
      <c r="F1" s="483" t="s">
        <v>2393</v>
      </c>
      <c r="G1" s="485"/>
      <c r="H1" s="485"/>
      <c r="I1" s="485"/>
      <c r="J1" s="485"/>
      <c r="K1" s="485"/>
      <c r="L1" s="485"/>
      <c r="M1" s="485"/>
      <c r="N1" s="485"/>
      <c r="O1" s="485"/>
      <c r="P1" s="485"/>
      <c r="Q1" s="485"/>
      <c r="R1" s="485"/>
      <c r="S1" s="485"/>
      <c r="T1" s="485"/>
      <c r="U1" s="485"/>
      <c r="V1" s="485"/>
      <c r="W1" s="485"/>
      <c r="X1" s="485"/>
      <c r="Y1" s="485"/>
      <c r="Z1" s="485"/>
      <c r="AA1" s="485"/>
      <c r="AB1" s="485"/>
      <c r="AC1" s="485"/>
      <c r="AD1" s="485"/>
      <c r="AE1" s="485"/>
    </row>
    <row r="2" spans="1:31" ht="24.75" customHeight="1">
      <c r="A2" s="549" t="s">
        <v>2467</v>
      </c>
      <c r="B2" s="550"/>
      <c r="C2" s="551"/>
      <c r="D2" s="552"/>
      <c r="E2" s="552"/>
      <c r="F2" s="550"/>
      <c r="G2" s="550"/>
      <c r="H2" s="550"/>
      <c r="I2" s="550"/>
      <c r="J2" s="553"/>
      <c r="K2" s="550"/>
      <c r="L2" s="550"/>
      <c r="M2" s="550"/>
      <c r="N2" s="550"/>
      <c r="O2" s="550"/>
      <c r="P2" s="550"/>
      <c r="Q2" s="550"/>
      <c r="R2" s="550"/>
      <c r="S2" s="550"/>
      <c r="T2" s="550"/>
      <c r="U2" s="550"/>
      <c r="V2" s="550"/>
      <c r="W2" s="550"/>
      <c r="X2" s="550"/>
      <c r="Y2" s="550"/>
      <c r="Z2" s="550"/>
      <c r="AA2" s="550"/>
      <c r="AB2" s="550"/>
      <c r="AC2" s="550"/>
      <c r="AD2" s="550"/>
      <c r="AE2" s="550"/>
    </row>
    <row r="3" spans="1:31" ht="14.1" customHeight="1">
      <c r="A3" s="524" t="s">
        <v>1400</v>
      </c>
      <c r="B3" s="425" t="s">
        <v>92</v>
      </c>
      <c r="C3" s="557" t="s">
        <v>93</v>
      </c>
      <c r="D3" s="524" t="s">
        <v>94</v>
      </c>
    </row>
    <row r="4" spans="1:31" ht="14.1" customHeight="1">
      <c r="A4" s="524"/>
      <c r="B4" s="425"/>
      <c r="C4" s="557" t="s">
        <v>94</v>
      </c>
      <c r="D4" s="524" t="s">
        <v>95</v>
      </c>
    </row>
    <row r="5" spans="1:31" ht="14.1" customHeight="1">
      <c r="A5" s="524"/>
      <c r="B5" s="425"/>
      <c r="C5" s="557" t="s">
        <v>95</v>
      </c>
      <c r="D5" s="524" t="s">
        <v>96</v>
      </c>
    </row>
    <row r="6" spans="1:31" ht="14.1" customHeight="1">
      <c r="A6" s="14">
        <v>1</v>
      </c>
      <c r="C6" s="31"/>
      <c r="D6" s="14"/>
    </row>
    <row r="7" spans="1:31" ht="14.1" customHeight="1">
      <c r="A7" s="14">
        <v>2</v>
      </c>
      <c r="B7" s="15" t="s">
        <v>97</v>
      </c>
      <c r="C7" s="32">
        <v>25</v>
      </c>
      <c r="D7" s="33">
        <f>70-C7</f>
        <v>45</v>
      </c>
    </row>
    <row r="8" spans="1:31" ht="14.1" customHeight="1">
      <c r="A8" s="14">
        <v>3</v>
      </c>
      <c r="B8" s="15" t="s">
        <v>98</v>
      </c>
      <c r="C8" s="32">
        <v>24</v>
      </c>
      <c r="D8" s="33">
        <f t="shared" ref="D8:D71" si="0">70-C8</f>
        <v>46</v>
      </c>
    </row>
    <row r="9" spans="1:31" ht="14.1" customHeight="1">
      <c r="A9" s="14">
        <v>4</v>
      </c>
      <c r="B9" s="15" t="s">
        <v>99</v>
      </c>
      <c r="C9" s="32">
        <v>-4</v>
      </c>
      <c r="D9" s="33">
        <f t="shared" si="0"/>
        <v>74</v>
      </c>
    </row>
    <row r="10" spans="1:31" ht="14.1" customHeight="1">
      <c r="A10" s="14">
        <v>5</v>
      </c>
      <c r="B10" s="15" t="s">
        <v>100</v>
      </c>
      <c r="C10" s="32">
        <v>11</v>
      </c>
      <c r="D10" s="33">
        <f t="shared" si="0"/>
        <v>59</v>
      </c>
    </row>
    <row r="11" spans="1:31" ht="14.1" customHeight="1">
      <c r="A11" s="14">
        <v>6</v>
      </c>
      <c r="B11" s="15" t="s">
        <v>101</v>
      </c>
      <c r="C11" s="32">
        <v>25</v>
      </c>
      <c r="D11" s="33">
        <f t="shared" si="0"/>
        <v>45</v>
      </c>
    </row>
    <row r="12" spans="1:31" ht="14.1" customHeight="1">
      <c r="A12" s="14">
        <v>7</v>
      </c>
      <c r="B12" s="15" t="s">
        <v>102</v>
      </c>
      <c r="C12" s="32">
        <v>19</v>
      </c>
      <c r="D12" s="33">
        <f t="shared" si="0"/>
        <v>51</v>
      </c>
    </row>
    <row r="13" spans="1:31" ht="14.1" customHeight="1">
      <c r="A13" s="14">
        <v>8</v>
      </c>
      <c r="B13" s="15" t="s">
        <v>103</v>
      </c>
      <c r="C13" s="32">
        <v>24</v>
      </c>
      <c r="D13" s="33">
        <f t="shared" si="0"/>
        <v>46</v>
      </c>
    </row>
    <row r="14" spans="1:31" ht="14.1" customHeight="1">
      <c r="A14" s="14">
        <v>9</v>
      </c>
      <c r="B14" s="15" t="s">
        <v>104</v>
      </c>
      <c r="C14" s="32">
        <v>19</v>
      </c>
      <c r="D14" s="33">
        <f t="shared" si="0"/>
        <v>51</v>
      </c>
    </row>
    <row r="15" spans="1:31" ht="14.1" customHeight="1">
      <c r="A15" s="14">
        <v>10</v>
      </c>
      <c r="B15" s="15" t="s">
        <v>105</v>
      </c>
      <c r="C15" s="32">
        <v>11</v>
      </c>
      <c r="D15" s="33">
        <f t="shared" si="0"/>
        <v>59</v>
      </c>
    </row>
    <row r="16" spans="1:31" ht="14.1" customHeight="1">
      <c r="A16" s="14">
        <v>11</v>
      </c>
      <c r="B16" s="15" t="s">
        <v>106</v>
      </c>
      <c r="C16" s="32">
        <v>4</v>
      </c>
      <c r="D16" s="33">
        <f t="shared" si="0"/>
        <v>66</v>
      </c>
    </row>
    <row r="17" spans="1:4" ht="14.1" customHeight="1">
      <c r="A17" s="14">
        <v>12</v>
      </c>
      <c r="B17" s="15" t="s">
        <v>107</v>
      </c>
      <c r="C17" s="32">
        <v>17</v>
      </c>
      <c r="D17" s="33">
        <f t="shared" si="0"/>
        <v>53</v>
      </c>
    </row>
    <row r="18" spans="1:4" ht="14.1" customHeight="1">
      <c r="A18" s="14">
        <v>13</v>
      </c>
      <c r="B18" s="15" t="s">
        <v>108</v>
      </c>
      <c r="C18" s="32">
        <v>17</v>
      </c>
      <c r="D18" s="33">
        <f t="shared" si="0"/>
        <v>53</v>
      </c>
    </row>
    <row r="19" spans="1:4" ht="14.1" customHeight="1">
      <c r="A19" s="14">
        <v>14</v>
      </c>
      <c r="B19" s="15" t="s">
        <v>109</v>
      </c>
      <c r="C19" s="32">
        <v>29</v>
      </c>
      <c r="D19" s="33">
        <f t="shared" si="0"/>
        <v>41</v>
      </c>
    </row>
    <row r="20" spans="1:4" ht="14.1" customHeight="1">
      <c r="A20" s="14">
        <v>15</v>
      </c>
      <c r="B20" s="15" t="s">
        <v>110</v>
      </c>
      <c r="C20" s="32">
        <v>24</v>
      </c>
      <c r="D20" s="33">
        <f t="shared" si="0"/>
        <v>46</v>
      </c>
    </row>
    <row r="21" spans="1:4" ht="14.1" customHeight="1">
      <c r="A21" s="14">
        <v>16</v>
      </c>
      <c r="B21" s="15" t="s">
        <v>111</v>
      </c>
      <c r="C21" s="32">
        <v>26</v>
      </c>
      <c r="D21" s="33">
        <f t="shared" si="0"/>
        <v>44</v>
      </c>
    </row>
    <row r="22" spans="1:4" ht="14.1" customHeight="1">
      <c r="A22" s="14">
        <v>17</v>
      </c>
      <c r="B22" s="15" t="s">
        <v>112</v>
      </c>
      <c r="C22" s="32">
        <v>-5</v>
      </c>
      <c r="D22" s="33">
        <f t="shared" si="0"/>
        <v>75</v>
      </c>
    </row>
    <row r="23" spans="1:4" ht="14.1" customHeight="1">
      <c r="A23" s="14">
        <v>18</v>
      </c>
      <c r="B23" s="15" t="s">
        <v>113</v>
      </c>
      <c r="C23" s="32">
        <v>19</v>
      </c>
      <c r="D23" s="33">
        <f t="shared" si="0"/>
        <v>51</v>
      </c>
    </row>
    <row r="24" spans="1:4" ht="14.1" customHeight="1">
      <c r="A24" s="14">
        <v>19</v>
      </c>
      <c r="B24" s="15" t="s">
        <v>114</v>
      </c>
      <c r="C24" s="32">
        <v>21</v>
      </c>
      <c r="D24" s="33">
        <f t="shared" si="0"/>
        <v>49</v>
      </c>
    </row>
    <row r="25" spans="1:4" ht="14.1" customHeight="1">
      <c r="A25" s="14">
        <v>20</v>
      </c>
      <c r="B25" s="15" t="s">
        <v>115</v>
      </c>
      <c r="C25" s="32">
        <v>23</v>
      </c>
      <c r="D25" s="33">
        <f t="shared" si="0"/>
        <v>47</v>
      </c>
    </row>
    <row r="26" spans="1:4" ht="14.1" customHeight="1">
      <c r="A26" s="14">
        <v>21</v>
      </c>
      <c r="B26" s="15" t="s">
        <v>116</v>
      </c>
      <c r="C26" s="32">
        <v>20</v>
      </c>
      <c r="D26" s="33">
        <f t="shared" si="0"/>
        <v>50</v>
      </c>
    </row>
    <row r="27" spans="1:4" ht="14.1" customHeight="1">
      <c r="A27" s="14">
        <v>22</v>
      </c>
      <c r="B27" s="15" t="s">
        <v>117</v>
      </c>
      <c r="C27" s="32">
        <v>21</v>
      </c>
      <c r="D27" s="33">
        <f t="shared" si="0"/>
        <v>49</v>
      </c>
    </row>
    <row r="28" spans="1:4" ht="14.1" customHeight="1">
      <c r="A28" s="14">
        <v>23</v>
      </c>
      <c r="B28" s="15" t="s">
        <v>118</v>
      </c>
      <c r="C28" s="32">
        <v>27</v>
      </c>
      <c r="D28" s="33">
        <f t="shared" si="0"/>
        <v>43</v>
      </c>
    </row>
    <row r="29" spans="1:4" ht="14.1" customHeight="1">
      <c r="A29" s="14">
        <v>24</v>
      </c>
      <c r="B29" s="15" t="s">
        <v>119</v>
      </c>
      <c r="C29" s="32">
        <v>21</v>
      </c>
      <c r="D29" s="33">
        <f t="shared" si="0"/>
        <v>49</v>
      </c>
    </row>
    <row r="30" spans="1:4" ht="14.1" customHeight="1">
      <c r="A30" s="14">
        <v>25</v>
      </c>
      <c r="B30" s="15" t="s">
        <v>120</v>
      </c>
      <c r="C30" s="32">
        <v>10</v>
      </c>
      <c r="D30" s="33">
        <f t="shared" si="0"/>
        <v>60</v>
      </c>
    </row>
    <row r="31" spans="1:4" ht="14.1" customHeight="1">
      <c r="A31" s="14">
        <v>26</v>
      </c>
      <c r="B31" s="15" t="s">
        <v>121</v>
      </c>
      <c r="C31" s="32">
        <v>4</v>
      </c>
      <c r="D31" s="33">
        <f t="shared" si="0"/>
        <v>66</v>
      </c>
    </row>
    <row r="32" spans="1:4" ht="14.1" customHeight="1">
      <c r="A32" s="14">
        <v>27</v>
      </c>
      <c r="B32" s="15" t="s">
        <v>122</v>
      </c>
      <c r="C32" s="32">
        <v>-11</v>
      </c>
      <c r="D32" s="33">
        <f t="shared" si="0"/>
        <v>81</v>
      </c>
    </row>
    <row r="33" spans="1:4" ht="14.1" customHeight="1">
      <c r="A33" s="14">
        <v>28</v>
      </c>
      <c r="B33" s="15" t="s">
        <v>123</v>
      </c>
      <c r="C33" s="32">
        <v>-9</v>
      </c>
      <c r="D33" s="33">
        <f t="shared" si="0"/>
        <v>79</v>
      </c>
    </row>
    <row r="34" spans="1:4" ht="14.1" customHeight="1">
      <c r="A34" s="14">
        <v>29</v>
      </c>
      <c r="B34" s="15" t="s">
        <v>124</v>
      </c>
      <c r="C34" s="32">
        <v>6</v>
      </c>
      <c r="D34" s="33">
        <f t="shared" si="0"/>
        <v>64</v>
      </c>
    </row>
    <row r="35" spans="1:4" ht="14.1" customHeight="1">
      <c r="A35" s="14">
        <v>30</v>
      </c>
      <c r="B35" s="15" t="s">
        <v>125</v>
      </c>
      <c r="C35" s="32">
        <v>28</v>
      </c>
      <c r="D35" s="33">
        <f t="shared" si="0"/>
        <v>42</v>
      </c>
    </row>
    <row r="36" spans="1:4" ht="14.1" customHeight="1">
      <c r="A36" s="14">
        <v>31</v>
      </c>
      <c r="B36" s="15" t="s">
        <v>126</v>
      </c>
      <c r="C36" s="32">
        <v>10</v>
      </c>
      <c r="D36" s="33">
        <f t="shared" si="0"/>
        <v>60</v>
      </c>
    </row>
    <row r="37" spans="1:4" ht="14.1" customHeight="1">
      <c r="A37" s="14">
        <v>32</v>
      </c>
      <c r="B37" s="15" t="s">
        <v>127</v>
      </c>
      <c r="C37" s="32">
        <v>19</v>
      </c>
      <c r="D37" s="33">
        <f t="shared" si="0"/>
        <v>51</v>
      </c>
    </row>
    <row r="38" spans="1:4" ht="14.1" customHeight="1">
      <c r="A38" s="14">
        <v>33</v>
      </c>
      <c r="B38" s="15" t="s">
        <v>128</v>
      </c>
      <c r="C38" s="32">
        <v>26</v>
      </c>
      <c r="D38" s="33">
        <f t="shared" si="0"/>
        <v>44</v>
      </c>
    </row>
    <row r="39" spans="1:4" ht="14.1" customHeight="1">
      <c r="A39" s="14">
        <v>34</v>
      </c>
      <c r="B39" s="15" t="s">
        <v>129</v>
      </c>
      <c r="C39" s="32">
        <v>1</v>
      </c>
      <c r="D39" s="33">
        <f t="shared" si="0"/>
        <v>69</v>
      </c>
    </row>
    <row r="40" spans="1:4" ht="14.1" customHeight="1">
      <c r="A40" s="14">
        <v>35</v>
      </c>
      <c r="B40" s="15" t="s">
        <v>130</v>
      </c>
      <c r="C40" s="32">
        <v>24</v>
      </c>
      <c r="D40" s="33">
        <f t="shared" si="0"/>
        <v>46</v>
      </c>
    </row>
    <row r="41" spans="1:4" ht="14.1" customHeight="1">
      <c r="A41" s="14">
        <v>36</v>
      </c>
      <c r="B41" s="15" t="s">
        <v>131</v>
      </c>
      <c r="C41" s="32">
        <v>2</v>
      </c>
      <c r="D41" s="33">
        <f t="shared" si="0"/>
        <v>68</v>
      </c>
    </row>
    <row r="42" spans="1:4" ht="14.1" customHeight="1">
      <c r="A42" s="14">
        <v>37</v>
      </c>
      <c r="B42" s="15" t="s">
        <v>132</v>
      </c>
      <c r="C42" s="32">
        <v>6</v>
      </c>
      <c r="D42" s="33">
        <f t="shared" si="0"/>
        <v>64</v>
      </c>
    </row>
    <row r="43" spans="1:4" ht="14.1" customHeight="1">
      <c r="A43" s="14">
        <v>38</v>
      </c>
      <c r="B43" s="15" t="s">
        <v>133</v>
      </c>
      <c r="C43" s="32">
        <v>-2</v>
      </c>
      <c r="D43" s="33">
        <f t="shared" si="0"/>
        <v>72</v>
      </c>
    </row>
    <row r="44" spans="1:4" ht="14.1" customHeight="1">
      <c r="A44" s="14">
        <v>39</v>
      </c>
      <c r="B44" s="15" t="s">
        <v>134</v>
      </c>
      <c r="C44" s="32">
        <v>-7</v>
      </c>
      <c r="D44" s="33">
        <f t="shared" si="0"/>
        <v>77</v>
      </c>
    </row>
    <row r="45" spans="1:4" ht="14.1" customHeight="1">
      <c r="A45" s="14">
        <v>40</v>
      </c>
      <c r="B45" s="15" t="s">
        <v>135</v>
      </c>
      <c r="C45" s="32">
        <v>19</v>
      </c>
      <c r="D45" s="33">
        <f t="shared" si="0"/>
        <v>51</v>
      </c>
    </row>
    <row r="46" spans="1:4" ht="14.1" customHeight="1">
      <c r="A46" s="14">
        <v>41</v>
      </c>
      <c r="B46" s="15" t="s">
        <v>136</v>
      </c>
      <c r="C46" s="32">
        <v>6</v>
      </c>
      <c r="D46" s="33">
        <f t="shared" si="0"/>
        <v>64</v>
      </c>
    </row>
    <row r="47" spans="1:4" ht="14.1" customHeight="1">
      <c r="A47" s="14">
        <v>42</v>
      </c>
      <c r="B47" s="15" t="s">
        <v>137</v>
      </c>
      <c r="C47" s="32">
        <v>25</v>
      </c>
      <c r="D47" s="33">
        <f t="shared" si="0"/>
        <v>45</v>
      </c>
    </row>
    <row r="48" spans="1:4" ht="14.1" customHeight="1">
      <c r="A48" s="14">
        <v>43</v>
      </c>
      <c r="B48" s="15" t="s">
        <v>138</v>
      </c>
      <c r="C48" s="32">
        <v>9</v>
      </c>
      <c r="D48" s="33">
        <f t="shared" si="0"/>
        <v>61</v>
      </c>
    </row>
    <row r="49" spans="1:4" ht="14.1" customHeight="1">
      <c r="A49" s="14">
        <v>44</v>
      </c>
      <c r="B49" s="15" t="s">
        <v>139</v>
      </c>
      <c r="C49" s="32">
        <v>21</v>
      </c>
      <c r="D49" s="33">
        <f t="shared" si="0"/>
        <v>49</v>
      </c>
    </row>
    <row r="50" spans="1:4" ht="14.1" customHeight="1">
      <c r="A50" s="14">
        <v>45</v>
      </c>
      <c r="B50" s="15" t="s">
        <v>140</v>
      </c>
      <c r="C50" s="32">
        <v>22</v>
      </c>
      <c r="D50" s="33">
        <f t="shared" si="0"/>
        <v>48</v>
      </c>
    </row>
    <row r="51" spans="1:4" ht="14.1" customHeight="1">
      <c r="A51" s="14">
        <v>46</v>
      </c>
      <c r="B51" s="15" t="s">
        <v>141</v>
      </c>
      <c r="C51" s="32">
        <v>14</v>
      </c>
      <c r="D51" s="33">
        <f t="shared" si="0"/>
        <v>56</v>
      </c>
    </row>
    <row r="52" spans="1:4" ht="14.1" customHeight="1">
      <c r="A52" s="14">
        <v>47</v>
      </c>
      <c r="B52" s="15" t="s">
        <v>142</v>
      </c>
      <c r="C52" s="32">
        <v>13</v>
      </c>
      <c r="D52" s="33">
        <f t="shared" si="0"/>
        <v>57</v>
      </c>
    </row>
    <row r="53" spans="1:4" ht="14.1" customHeight="1">
      <c r="A53" s="14">
        <v>48</v>
      </c>
      <c r="B53" s="15" t="s">
        <v>143</v>
      </c>
      <c r="C53" s="32">
        <v>5</v>
      </c>
      <c r="D53" s="33">
        <f t="shared" si="0"/>
        <v>65</v>
      </c>
    </row>
    <row r="54" spans="1:4" ht="14.1" customHeight="1">
      <c r="A54" s="14">
        <v>49</v>
      </c>
      <c r="B54" s="15" t="s">
        <v>144</v>
      </c>
      <c r="C54" s="32">
        <v>5</v>
      </c>
      <c r="D54" s="33">
        <f t="shared" si="0"/>
        <v>65</v>
      </c>
    </row>
    <row r="55" spans="1:4" ht="14.1" customHeight="1">
      <c r="A55" s="14">
        <v>50</v>
      </c>
      <c r="B55" s="15" t="s">
        <v>145</v>
      </c>
      <c r="C55" s="32">
        <v>-5</v>
      </c>
      <c r="D55" s="33">
        <f t="shared" si="0"/>
        <v>75</v>
      </c>
    </row>
    <row r="56" spans="1:4" ht="14.1" customHeight="1">
      <c r="A56" s="14">
        <v>51</v>
      </c>
      <c r="B56" s="15" t="s">
        <v>146</v>
      </c>
      <c r="C56" s="32">
        <v>25</v>
      </c>
      <c r="D56" s="33">
        <f t="shared" si="0"/>
        <v>45</v>
      </c>
    </row>
    <row r="57" spans="1:4" ht="14.1" customHeight="1">
      <c r="A57" s="14">
        <v>52</v>
      </c>
      <c r="B57" s="15" t="s">
        <v>147</v>
      </c>
      <c r="C57" s="32">
        <v>15</v>
      </c>
      <c r="D57" s="33">
        <f t="shared" si="0"/>
        <v>55</v>
      </c>
    </row>
    <row r="58" spans="1:4" ht="14.1" customHeight="1">
      <c r="A58" s="14">
        <v>53</v>
      </c>
      <c r="B58" s="15" t="s">
        <v>148</v>
      </c>
      <c r="C58" s="32">
        <v>9</v>
      </c>
      <c r="D58" s="33">
        <f t="shared" si="0"/>
        <v>61</v>
      </c>
    </row>
    <row r="59" spans="1:4" ht="14.1" customHeight="1">
      <c r="A59" s="14">
        <v>54</v>
      </c>
      <c r="B59" s="15" t="s">
        <v>149</v>
      </c>
      <c r="C59" s="32">
        <v>29</v>
      </c>
      <c r="D59" s="33">
        <f t="shared" si="0"/>
        <v>41</v>
      </c>
    </row>
    <row r="60" spans="1:4" ht="14.1" customHeight="1">
      <c r="A60" s="14">
        <v>55</v>
      </c>
      <c r="B60" s="15" t="s">
        <v>150</v>
      </c>
      <c r="C60" s="32">
        <v>24</v>
      </c>
      <c r="D60" s="33">
        <f t="shared" si="0"/>
        <v>46</v>
      </c>
    </row>
    <row r="61" spans="1:4" ht="14.1" customHeight="1">
      <c r="A61" s="14">
        <v>56</v>
      </c>
      <c r="B61" s="15" t="s">
        <v>151</v>
      </c>
      <c r="C61" s="32">
        <v>16</v>
      </c>
      <c r="D61" s="33">
        <f t="shared" si="0"/>
        <v>54</v>
      </c>
    </row>
    <row r="62" spans="1:4" ht="14.1" customHeight="1">
      <c r="A62" s="14">
        <v>57</v>
      </c>
      <c r="B62" s="15" t="s">
        <v>152</v>
      </c>
      <c r="C62" s="32">
        <v>2</v>
      </c>
      <c r="D62" s="33">
        <f t="shared" si="0"/>
        <v>68</v>
      </c>
    </row>
    <row r="63" spans="1:4" ht="14.1" customHeight="1">
      <c r="A63" s="14">
        <v>58</v>
      </c>
      <c r="B63" s="15" t="s">
        <v>153</v>
      </c>
      <c r="C63" s="32">
        <v>24</v>
      </c>
      <c r="D63" s="33">
        <f t="shared" si="0"/>
        <v>46</v>
      </c>
    </row>
    <row r="64" spans="1:4" ht="14.1" customHeight="1">
      <c r="A64" s="14">
        <v>59</v>
      </c>
      <c r="B64" s="15" t="s">
        <v>154</v>
      </c>
      <c r="C64" s="32">
        <v>9</v>
      </c>
      <c r="D64" s="33">
        <f t="shared" si="0"/>
        <v>61</v>
      </c>
    </row>
    <row r="65" spans="1:4" ht="14.1" customHeight="1">
      <c r="A65" s="14">
        <v>60</v>
      </c>
      <c r="B65" s="15" t="s">
        <v>155</v>
      </c>
      <c r="C65" s="32">
        <v>24</v>
      </c>
      <c r="D65" s="33">
        <f t="shared" si="0"/>
        <v>46</v>
      </c>
    </row>
    <row r="66" spans="1:4" ht="14.1" customHeight="1">
      <c r="A66" s="14">
        <v>61</v>
      </c>
      <c r="B66" s="15" t="s">
        <v>156</v>
      </c>
      <c r="C66" s="32">
        <v>26</v>
      </c>
      <c r="D66" s="33">
        <f t="shared" si="0"/>
        <v>44</v>
      </c>
    </row>
    <row r="67" spans="1:4" ht="14.1" customHeight="1">
      <c r="A67" s="14">
        <v>62</v>
      </c>
      <c r="B67" s="15" t="s">
        <v>157</v>
      </c>
      <c r="C67" s="32">
        <v>7</v>
      </c>
      <c r="D67" s="33">
        <f t="shared" si="0"/>
        <v>63</v>
      </c>
    </row>
    <row r="68" spans="1:4" ht="14.1" customHeight="1">
      <c r="A68" s="14">
        <v>63</v>
      </c>
      <c r="B68" s="15" t="s">
        <v>158</v>
      </c>
      <c r="C68" s="32">
        <v>23</v>
      </c>
      <c r="D68" s="33">
        <f t="shared" si="0"/>
        <v>47</v>
      </c>
    </row>
    <row r="69" spans="1:4" ht="14.1" customHeight="1">
      <c r="A69" s="14">
        <v>64</v>
      </c>
      <c r="B69" s="15" t="s">
        <v>159</v>
      </c>
      <c r="C69" s="32">
        <v>21</v>
      </c>
      <c r="D69" s="33">
        <f t="shared" si="0"/>
        <v>49</v>
      </c>
    </row>
    <row r="70" spans="1:4" ht="14.1" customHeight="1">
      <c r="A70" s="14">
        <v>65</v>
      </c>
      <c r="B70" s="15" t="s">
        <v>160</v>
      </c>
      <c r="C70" s="32">
        <v>29</v>
      </c>
      <c r="D70" s="33">
        <f t="shared" si="0"/>
        <v>41</v>
      </c>
    </row>
    <row r="71" spans="1:4" ht="14.1" customHeight="1">
      <c r="A71" s="14">
        <v>66</v>
      </c>
      <c r="B71" s="15" t="s">
        <v>161</v>
      </c>
      <c r="C71" s="32">
        <v>23</v>
      </c>
      <c r="D71" s="33">
        <f t="shared" si="0"/>
        <v>47</v>
      </c>
    </row>
    <row r="72" spans="1:4" ht="14.1" customHeight="1">
      <c r="A72" s="14">
        <v>67</v>
      </c>
      <c r="B72" s="15" t="s">
        <v>162</v>
      </c>
      <c r="C72" s="32">
        <v>24</v>
      </c>
      <c r="D72" s="33">
        <f t="shared" ref="D72:D135" si="1">70-C72</f>
        <v>46</v>
      </c>
    </row>
    <row r="73" spans="1:4" ht="14.1" customHeight="1">
      <c r="A73" s="14">
        <v>68</v>
      </c>
      <c r="B73" s="15" t="s">
        <v>163</v>
      </c>
      <c r="C73" s="32">
        <v>1.1000000000000001</v>
      </c>
      <c r="D73" s="33">
        <f t="shared" si="1"/>
        <v>68.900000000000006</v>
      </c>
    </row>
    <row r="74" spans="1:4" ht="14.1" customHeight="1">
      <c r="A74" s="14">
        <v>69</v>
      </c>
      <c r="B74" s="15" t="s">
        <v>164</v>
      </c>
      <c r="C74" s="32">
        <v>13</v>
      </c>
      <c r="D74" s="33">
        <f t="shared" si="1"/>
        <v>57</v>
      </c>
    </row>
    <row r="75" spans="1:4" ht="14.1" customHeight="1">
      <c r="A75" s="14">
        <v>70</v>
      </c>
      <c r="B75" s="15" t="s">
        <v>165</v>
      </c>
      <c r="C75" s="32">
        <v>18</v>
      </c>
      <c r="D75" s="33">
        <f t="shared" si="1"/>
        <v>52</v>
      </c>
    </row>
    <row r="76" spans="1:4" ht="14.1" customHeight="1">
      <c r="A76" s="14">
        <v>71</v>
      </c>
      <c r="B76" s="15" t="s">
        <v>166</v>
      </c>
      <c r="C76" s="32">
        <v>7</v>
      </c>
      <c r="D76" s="33">
        <f t="shared" si="1"/>
        <v>63</v>
      </c>
    </row>
    <row r="77" spans="1:4" ht="14.1" customHeight="1">
      <c r="A77" s="14">
        <v>72</v>
      </c>
      <c r="B77" s="15" t="s">
        <v>167</v>
      </c>
      <c r="C77" s="32">
        <v>12</v>
      </c>
      <c r="D77" s="33">
        <f t="shared" si="1"/>
        <v>58</v>
      </c>
    </row>
    <row r="78" spans="1:4" ht="14.1" customHeight="1">
      <c r="A78" s="14">
        <v>73</v>
      </c>
      <c r="B78" s="15" t="s">
        <v>168</v>
      </c>
      <c r="C78" s="32">
        <v>30</v>
      </c>
      <c r="D78" s="33">
        <f t="shared" si="1"/>
        <v>40</v>
      </c>
    </row>
    <row r="79" spans="1:4" ht="14.1" customHeight="1">
      <c r="A79" s="14">
        <v>74</v>
      </c>
      <c r="B79" s="15" t="s">
        <v>169</v>
      </c>
      <c r="C79" s="32">
        <v>28</v>
      </c>
      <c r="D79" s="33">
        <f t="shared" si="1"/>
        <v>42</v>
      </c>
    </row>
    <row r="80" spans="1:4" ht="14.1" customHeight="1">
      <c r="A80" s="14">
        <v>75</v>
      </c>
      <c r="B80" s="15" t="s">
        <v>170</v>
      </c>
      <c r="C80" s="32">
        <v>24</v>
      </c>
      <c r="D80" s="33">
        <f t="shared" si="1"/>
        <v>46</v>
      </c>
    </row>
    <row r="81" spans="1:4" ht="14.1" customHeight="1">
      <c r="A81" s="14">
        <v>76</v>
      </c>
      <c r="B81" s="15" t="s">
        <v>171</v>
      </c>
      <c r="C81" s="32">
        <v>1.4</v>
      </c>
      <c r="D81" s="33">
        <f t="shared" si="1"/>
        <v>68.599999999999994</v>
      </c>
    </row>
    <row r="82" spans="1:4" ht="14.1" customHeight="1">
      <c r="A82" s="14">
        <v>77</v>
      </c>
      <c r="B82" s="15" t="s">
        <v>172</v>
      </c>
      <c r="C82" s="32">
        <v>21</v>
      </c>
      <c r="D82" s="33">
        <f t="shared" si="1"/>
        <v>49</v>
      </c>
    </row>
    <row r="83" spans="1:4" ht="14.1" customHeight="1">
      <c r="A83" s="14">
        <v>78</v>
      </c>
      <c r="B83" s="15" t="s">
        <v>173</v>
      </c>
      <c r="C83" s="32">
        <v>3</v>
      </c>
      <c r="D83" s="33">
        <f t="shared" si="1"/>
        <v>67</v>
      </c>
    </row>
    <row r="84" spans="1:4" ht="14.1" customHeight="1">
      <c r="A84" s="14">
        <v>79</v>
      </c>
      <c r="B84" s="15" t="s">
        <v>174</v>
      </c>
      <c r="C84" s="32">
        <v>7</v>
      </c>
      <c r="D84" s="33">
        <f t="shared" si="1"/>
        <v>63</v>
      </c>
    </row>
    <row r="85" spans="1:4" ht="14.1" customHeight="1">
      <c r="A85" s="14">
        <v>80</v>
      </c>
      <c r="B85" s="15" t="s">
        <v>175</v>
      </c>
      <c r="C85" s="32">
        <v>1</v>
      </c>
      <c r="D85" s="33">
        <f t="shared" si="1"/>
        <v>69</v>
      </c>
    </row>
    <row r="86" spans="1:4" ht="14.1" customHeight="1">
      <c r="A86" s="14">
        <v>81</v>
      </c>
      <c r="B86" s="15" t="s">
        <v>176</v>
      </c>
      <c r="C86" s="32">
        <v>4</v>
      </c>
      <c r="D86" s="33">
        <f t="shared" si="1"/>
        <v>66</v>
      </c>
    </row>
    <row r="87" spans="1:4" ht="14.1" customHeight="1">
      <c r="A87" s="14">
        <v>82</v>
      </c>
      <c r="B87" s="15" t="s">
        <v>177</v>
      </c>
      <c r="C87" s="32">
        <v>26</v>
      </c>
      <c r="D87" s="33">
        <f t="shared" si="1"/>
        <v>44</v>
      </c>
    </row>
    <row r="88" spans="1:4" ht="14.1" customHeight="1">
      <c r="A88" s="14">
        <v>83</v>
      </c>
      <c r="B88" s="15" t="s">
        <v>178</v>
      </c>
      <c r="C88" s="32">
        <v>17</v>
      </c>
      <c r="D88" s="33">
        <f t="shared" si="1"/>
        <v>53</v>
      </c>
    </row>
    <row r="89" spans="1:4" ht="14.1" customHeight="1">
      <c r="A89" s="14">
        <v>84</v>
      </c>
      <c r="B89" s="15" t="s">
        <v>179</v>
      </c>
      <c r="C89" s="32">
        <v>0</v>
      </c>
      <c r="D89" s="33">
        <f t="shared" si="1"/>
        <v>70</v>
      </c>
    </row>
    <row r="90" spans="1:4" ht="14.1" customHeight="1">
      <c r="A90" s="14">
        <v>85</v>
      </c>
      <c r="B90" s="15" t="s">
        <v>180</v>
      </c>
      <c r="C90" s="32">
        <v>23</v>
      </c>
      <c r="D90" s="33">
        <f t="shared" si="1"/>
        <v>47</v>
      </c>
    </row>
    <row r="91" spans="1:4" ht="14.1" customHeight="1">
      <c r="A91" s="14">
        <v>86</v>
      </c>
      <c r="B91" s="15" t="s">
        <v>181</v>
      </c>
      <c r="C91" s="32">
        <v>19</v>
      </c>
      <c r="D91" s="33">
        <f t="shared" si="1"/>
        <v>51</v>
      </c>
    </row>
    <row r="92" spans="1:4" ht="14.1" customHeight="1">
      <c r="A92" s="14">
        <v>87</v>
      </c>
      <c r="B92" s="15" t="s">
        <v>182</v>
      </c>
      <c r="C92" s="32">
        <v>24</v>
      </c>
      <c r="D92" s="33">
        <f t="shared" si="1"/>
        <v>46</v>
      </c>
    </row>
    <row r="93" spans="1:4" ht="14.1" customHeight="1">
      <c r="A93" s="14">
        <v>88</v>
      </c>
      <c r="B93" s="15" t="s">
        <v>183</v>
      </c>
      <c r="C93" s="32">
        <v>13</v>
      </c>
      <c r="D93" s="33">
        <f t="shared" si="1"/>
        <v>57</v>
      </c>
    </row>
    <row r="94" spans="1:4" ht="14.1" customHeight="1">
      <c r="A94" s="14">
        <v>89</v>
      </c>
      <c r="B94" s="15" t="s">
        <v>184</v>
      </c>
      <c r="C94" s="32">
        <v>21</v>
      </c>
      <c r="D94" s="33">
        <f t="shared" si="1"/>
        <v>49</v>
      </c>
    </row>
    <row r="95" spans="1:4" ht="14.1" customHeight="1">
      <c r="A95" s="14">
        <v>90</v>
      </c>
      <c r="B95" s="15" t="s">
        <v>185</v>
      </c>
      <c r="C95" s="32">
        <v>20</v>
      </c>
      <c r="D95" s="33">
        <f t="shared" si="1"/>
        <v>50</v>
      </c>
    </row>
    <row r="96" spans="1:4" ht="14.1" customHeight="1">
      <c r="A96" s="14">
        <v>91</v>
      </c>
      <c r="B96" s="15" t="s">
        <v>186</v>
      </c>
      <c r="C96" s="32">
        <v>17</v>
      </c>
      <c r="D96" s="33">
        <f t="shared" si="1"/>
        <v>53</v>
      </c>
    </row>
    <row r="97" spans="1:4" ht="14.1" customHeight="1">
      <c r="A97" s="14">
        <v>92</v>
      </c>
      <c r="B97" s="15" t="s">
        <v>187</v>
      </c>
      <c r="C97" s="32">
        <v>17</v>
      </c>
      <c r="D97" s="33">
        <f t="shared" si="1"/>
        <v>53</v>
      </c>
    </row>
    <row r="98" spans="1:4" ht="14.1" customHeight="1">
      <c r="A98" s="14">
        <v>93</v>
      </c>
      <c r="B98" s="15" t="s">
        <v>188</v>
      </c>
      <c r="C98" s="32">
        <v>-3</v>
      </c>
      <c r="D98" s="33">
        <f t="shared" si="1"/>
        <v>73</v>
      </c>
    </row>
    <row r="99" spans="1:4" ht="14.1" customHeight="1">
      <c r="A99" s="14">
        <v>94</v>
      </c>
      <c r="B99" s="15" t="s">
        <v>189</v>
      </c>
      <c r="C99" s="32">
        <v>23</v>
      </c>
      <c r="D99" s="33">
        <f t="shared" si="1"/>
        <v>47</v>
      </c>
    </row>
    <row r="100" spans="1:4" ht="14.1" customHeight="1">
      <c r="A100" s="14">
        <v>95</v>
      </c>
      <c r="B100" s="15" t="s">
        <v>190</v>
      </c>
      <c r="C100" s="32">
        <v>-4</v>
      </c>
      <c r="D100" s="33">
        <f t="shared" si="1"/>
        <v>74</v>
      </c>
    </row>
    <row r="101" spans="1:4" ht="14.1" customHeight="1">
      <c r="A101" s="14">
        <v>96</v>
      </c>
      <c r="B101" s="15" t="s">
        <v>191</v>
      </c>
      <c r="C101" s="32">
        <v>20</v>
      </c>
      <c r="D101" s="33">
        <f t="shared" si="1"/>
        <v>50</v>
      </c>
    </row>
    <row r="102" spans="1:4" ht="14.1" customHeight="1">
      <c r="A102" s="14">
        <v>97</v>
      </c>
      <c r="B102" s="15" t="s">
        <v>192</v>
      </c>
      <c r="C102" s="32">
        <v>-2</v>
      </c>
      <c r="D102" s="33">
        <f t="shared" si="1"/>
        <v>72</v>
      </c>
    </row>
    <row r="103" spans="1:4" ht="14.1" customHeight="1">
      <c r="A103" s="14">
        <v>98</v>
      </c>
      <c r="B103" s="15" t="s">
        <v>193</v>
      </c>
      <c r="C103" s="32">
        <v>0</v>
      </c>
      <c r="D103" s="33">
        <f t="shared" si="1"/>
        <v>70</v>
      </c>
    </row>
    <row r="104" spans="1:4" ht="14.1" customHeight="1">
      <c r="A104" s="14">
        <v>99</v>
      </c>
      <c r="B104" s="15" t="s">
        <v>194</v>
      </c>
      <c r="C104" s="32">
        <v>23</v>
      </c>
      <c r="D104" s="33">
        <f t="shared" si="1"/>
        <v>47</v>
      </c>
    </row>
    <row r="105" spans="1:4" ht="14.1" customHeight="1">
      <c r="A105" s="14">
        <v>100</v>
      </c>
      <c r="B105" s="15" t="s">
        <v>195</v>
      </c>
      <c r="C105" s="32">
        <v>18</v>
      </c>
      <c r="D105" s="33">
        <f t="shared" si="1"/>
        <v>52</v>
      </c>
    </row>
    <row r="106" spans="1:4" ht="14.1" customHeight="1">
      <c r="A106" s="14">
        <v>101</v>
      </c>
      <c r="B106" s="15" t="s">
        <v>196</v>
      </c>
      <c r="C106" s="32">
        <v>6</v>
      </c>
      <c r="D106" s="33">
        <f t="shared" si="1"/>
        <v>64</v>
      </c>
    </row>
    <row r="107" spans="1:4" ht="14.1" customHeight="1">
      <c r="A107" s="14">
        <v>102</v>
      </c>
      <c r="B107" s="15" t="s">
        <v>197</v>
      </c>
      <c r="C107" s="32">
        <v>-8</v>
      </c>
      <c r="D107" s="33">
        <f t="shared" si="1"/>
        <v>78</v>
      </c>
    </row>
    <row r="108" spans="1:4" ht="14.1" customHeight="1">
      <c r="A108" s="14">
        <v>103</v>
      </c>
      <c r="B108" s="15" t="s">
        <v>198</v>
      </c>
      <c r="C108" s="32">
        <v>-3</v>
      </c>
      <c r="D108" s="33">
        <f t="shared" si="1"/>
        <v>73</v>
      </c>
    </row>
    <row r="109" spans="1:4" ht="14.1" customHeight="1">
      <c r="A109" s="14">
        <v>104</v>
      </c>
      <c r="B109" s="15" t="s">
        <v>199</v>
      </c>
      <c r="C109" s="32">
        <v>-7</v>
      </c>
      <c r="D109" s="33">
        <f t="shared" si="1"/>
        <v>77</v>
      </c>
    </row>
    <row r="110" spans="1:4" ht="14.1" customHeight="1">
      <c r="A110" s="14">
        <v>105</v>
      </c>
      <c r="B110" s="15" t="s">
        <v>200</v>
      </c>
      <c r="C110" s="32">
        <v>6</v>
      </c>
      <c r="D110" s="33">
        <f t="shared" si="1"/>
        <v>64</v>
      </c>
    </row>
    <row r="111" spans="1:4" ht="14.1" customHeight="1">
      <c r="A111" s="14">
        <v>106</v>
      </c>
      <c r="B111" s="15" t="s">
        <v>201</v>
      </c>
      <c r="C111" s="32">
        <v>10</v>
      </c>
      <c r="D111" s="33">
        <f t="shared" si="1"/>
        <v>60</v>
      </c>
    </row>
    <row r="112" spans="1:4" ht="14.1" customHeight="1">
      <c r="A112" s="14">
        <v>107</v>
      </c>
      <c r="B112" s="15" t="s">
        <v>202</v>
      </c>
      <c r="C112" s="32">
        <v>22</v>
      </c>
      <c r="D112" s="33">
        <f t="shared" si="1"/>
        <v>48</v>
      </c>
    </row>
    <row r="113" spans="1:4" ht="14.1" customHeight="1">
      <c r="A113" s="14">
        <v>108</v>
      </c>
      <c r="B113" s="15" t="s">
        <v>203</v>
      </c>
      <c r="C113" s="32">
        <v>25</v>
      </c>
      <c r="D113" s="33">
        <f t="shared" si="1"/>
        <v>45</v>
      </c>
    </row>
    <row r="114" spans="1:4" ht="14.1" customHeight="1">
      <c r="A114" s="14">
        <v>109</v>
      </c>
      <c r="B114" s="15" t="s">
        <v>204</v>
      </c>
      <c r="C114" s="32">
        <v>24</v>
      </c>
      <c r="D114" s="33">
        <f t="shared" si="1"/>
        <v>46</v>
      </c>
    </row>
    <row r="115" spans="1:4" ht="14.1" customHeight="1">
      <c r="A115" s="14">
        <v>110</v>
      </c>
      <c r="B115" s="15" t="s">
        <v>205</v>
      </c>
      <c r="C115" s="32">
        <v>14</v>
      </c>
      <c r="D115" s="33">
        <f t="shared" si="1"/>
        <v>56</v>
      </c>
    </row>
    <row r="116" spans="1:4" ht="14.1" customHeight="1">
      <c r="A116" s="14">
        <v>111</v>
      </c>
      <c r="B116" s="15" t="s">
        <v>206</v>
      </c>
      <c r="C116" s="32">
        <v>18</v>
      </c>
      <c r="D116" s="33">
        <f t="shared" si="1"/>
        <v>52</v>
      </c>
    </row>
    <row r="117" spans="1:4" ht="14.1" customHeight="1">
      <c r="A117" s="14">
        <v>112</v>
      </c>
      <c r="B117" s="15" t="s">
        <v>207</v>
      </c>
      <c r="C117" s="32">
        <v>18</v>
      </c>
      <c r="D117" s="33">
        <f t="shared" si="1"/>
        <v>52</v>
      </c>
    </row>
    <row r="118" spans="1:4" ht="14.1" customHeight="1">
      <c r="A118" s="14">
        <v>113</v>
      </c>
      <c r="B118" s="15" t="s">
        <v>208</v>
      </c>
      <c r="C118" s="32">
        <v>24</v>
      </c>
      <c r="D118" s="33">
        <f t="shared" si="1"/>
        <v>46</v>
      </c>
    </row>
    <row r="119" spans="1:4" ht="14.1" customHeight="1">
      <c r="A119" s="14">
        <v>114</v>
      </c>
      <c r="B119" s="15" t="s">
        <v>209</v>
      </c>
      <c r="C119" s="32">
        <v>4</v>
      </c>
      <c r="D119" s="33">
        <f t="shared" si="1"/>
        <v>66</v>
      </c>
    </row>
    <row r="120" spans="1:4" ht="14.1" customHeight="1">
      <c r="A120" s="14">
        <v>115</v>
      </c>
      <c r="B120" s="15" t="s">
        <v>210</v>
      </c>
      <c r="C120" s="32">
        <v>18</v>
      </c>
      <c r="D120" s="33">
        <f t="shared" si="1"/>
        <v>52</v>
      </c>
    </row>
    <row r="121" spans="1:4" ht="14.1" customHeight="1">
      <c r="A121" s="14">
        <v>116</v>
      </c>
      <c r="B121" s="15" t="s">
        <v>211</v>
      </c>
      <c r="C121" s="32">
        <v>23</v>
      </c>
      <c r="D121" s="33">
        <f t="shared" si="1"/>
        <v>47</v>
      </c>
    </row>
    <row r="122" spans="1:4" ht="14.1" customHeight="1">
      <c r="A122" s="14">
        <v>117</v>
      </c>
      <c r="B122" s="15" t="s">
        <v>212</v>
      </c>
      <c r="C122" s="32">
        <v>21</v>
      </c>
      <c r="D122" s="33">
        <f t="shared" si="1"/>
        <v>49</v>
      </c>
    </row>
    <row r="123" spans="1:4" ht="14.1" customHeight="1">
      <c r="A123" s="14">
        <v>118</v>
      </c>
      <c r="B123" s="15" t="s">
        <v>213</v>
      </c>
      <c r="C123" s="32">
        <v>11</v>
      </c>
      <c r="D123" s="33">
        <f t="shared" si="1"/>
        <v>59</v>
      </c>
    </row>
    <row r="124" spans="1:4" ht="14.1" customHeight="1">
      <c r="A124" s="14">
        <v>119</v>
      </c>
      <c r="B124" s="15" t="s">
        <v>214</v>
      </c>
      <c r="C124" s="32">
        <v>4</v>
      </c>
      <c r="D124" s="33">
        <f t="shared" si="1"/>
        <v>66</v>
      </c>
    </row>
    <row r="125" spans="1:4" ht="14.1" customHeight="1">
      <c r="A125" s="14">
        <v>120</v>
      </c>
      <c r="B125" s="15" t="s">
        <v>215</v>
      </c>
      <c r="C125" s="32">
        <v>24</v>
      </c>
      <c r="D125" s="33">
        <f t="shared" si="1"/>
        <v>46</v>
      </c>
    </row>
    <row r="126" spans="1:4" ht="14.1" customHeight="1">
      <c r="A126" s="14">
        <v>121</v>
      </c>
      <c r="B126" s="15" t="s">
        <v>216</v>
      </c>
      <c r="C126" s="32">
        <v>25</v>
      </c>
      <c r="D126" s="33">
        <f t="shared" si="1"/>
        <v>45</v>
      </c>
    </row>
    <row r="127" spans="1:4" ht="14.1" customHeight="1">
      <c r="A127" s="14">
        <v>122</v>
      </c>
      <c r="B127" s="15" t="s">
        <v>217</v>
      </c>
      <c r="C127" s="32">
        <v>-1</v>
      </c>
      <c r="D127" s="33">
        <f t="shared" si="1"/>
        <v>71</v>
      </c>
    </row>
    <row r="128" spans="1:4" ht="14.1" customHeight="1">
      <c r="A128" s="14">
        <v>123</v>
      </c>
      <c r="B128" s="15" t="s">
        <v>218</v>
      </c>
      <c r="C128" s="32">
        <v>1</v>
      </c>
      <c r="D128" s="33">
        <f t="shared" si="1"/>
        <v>69</v>
      </c>
    </row>
    <row r="129" spans="1:4" ht="14.1" customHeight="1">
      <c r="A129" s="14">
        <v>124</v>
      </c>
      <c r="B129" s="15" t="s">
        <v>219</v>
      </c>
      <c r="C129" s="32">
        <v>22</v>
      </c>
      <c r="D129" s="33">
        <f t="shared" si="1"/>
        <v>48</v>
      </c>
    </row>
    <row r="130" spans="1:4" ht="14.1" customHeight="1">
      <c r="A130" s="14">
        <v>125</v>
      </c>
      <c r="B130" s="15" t="s">
        <v>220</v>
      </c>
      <c r="C130" s="32">
        <v>-2</v>
      </c>
      <c r="D130" s="33">
        <f t="shared" si="1"/>
        <v>72</v>
      </c>
    </row>
    <row r="131" spans="1:4" ht="14.1" customHeight="1">
      <c r="A131" s="14">
        <v>126</v>
      </c>
      <c r="B131" s="15" t="s">
        <v>221</v>
      </c>
      <c r="C131" s="32">
        <v>20</v>
      </c>
      <c r="D131" s="33">
        <f t="shared" si="1"/>
        <v>50</v>
      </c>
    </row>
    <row r="132" spans="1:4" ht="14.1" customHeight="1">
      <c r="A132" s="14">
        <v>127</v>
      </c>
      <c r="B132" s="15" t="s">
        <v>222</v>
      </c>
      <c r="C132" s="32">
        <v>8</v>
      </c>
      <c r="D132" s="33">
        <f t="shared" si="1"/>
        <v>62</v>
      </c>
    </row>
    <row r="133" spans="1:4" ht="14.1" customHeight="1">
      <c r="A133" s="14">
        <v>128</v>
      </c>
      <c r="B133" s="15" t="s">
        <v>223</v>
      </c>
      <c r="C133" s="32">
        <v>23</v>
      </c>
      <c r="D133" s="33">
        <f t="shared" si="1"/>
        <v>47</v>
      </c>
    </row>
    <row r="134" spans="1:4" ht="14.1" customHeight="1">
      <c r="A134" s="14">
        <v>129</v>
      </c>
      <c r="B134" s="15" t="s">
        <v>224</v>
      </c>
      <c r="C134" s="32">
        <v>-4</v>
      </c>
      <c r="D134" s="33">
        <f t="shared" si="1"/>
        <v>74</v>
      </c>
    </row>
    <row r="135" spans="1:4" ht="14.1" customHeight="1">
      <c r="A135" s="14">
        <v>130</v>
      </c>
      <c r="B135" s="15" t="s">
        <v>225</v>
      </c>
      <c r="C135" s="32">
        <v>19</v>
      </c>
      <c r="D135" s="33">
        <f t="shared" si="1"/>
        <v>51</v>
      </c>
    </row>
    <row r="136" spans="1:4" ht="14.1" customHeight="1">
      <c r="A136" s="14">
        <v>131</v>
      </c>
      <c r="B136" s="15" t="s">
        <v>226</v>
      </c>
      <c r="C136" s="32">
        <v>-5</v>
      </c>
      <c r="D136" s="33">
        <f t="shared" ref="D136:D199" si="2">70-C136</f>
        <v>75</v>
      </c>
    </row>
    <row r="137" spans="1:4" ht="14.1" customHeight="1">
      <c r="A137" s="14">
        <v>132</v>
      </c>
      <c r="B137" s="15" t="s">
        <v>227</v>
      </c>
      <c r="C137" s="32">
        <v>24</v>
      </c>
      <c r="D137" s="33">
        <f t="shared" si="2"/>
        <v>46</v>
      </c>
    </row>
    <row r="138" spans="1:4" ht="14.1" customHeight="1">
      <c r="A138" s="14">
        <v>133</v>
      </c>
      <c r="B138" s="15" t="s">
        <v>228</v>
      </c>
      <c r="C138" s="32">
        <v>2</v>
      </c>
      <c r="D138" s="33">
        <f t="shared" si="2"/>
        <v>68</v>
      </c>
    </row>
    <row r="139" spans="1:4" ht="14.1" customHeight="1">
      <c r="A139" s="14">
        <v>134</v>
      </c>
      <c r="B139" s="15" t="s">
        <v>229</v>
      </c>
      <c r="C139" s="32">
        <v>16</v>
      </c>
      <c r="D139" s="33">
        <f t="shared" si="2"/>
        <v>54</v>
      </c>
    </row>
    <row r="140" spans="1:4" ht="14.1" customHeight="1">
      <c r="A140" s="14">
        <v>135</v>
      </c>
      <c r="B140" s="15" t="s">
        <v>230</v>
      </c>
      <c r="C140" s="32">
        <v>20</v>
      </c>
      <c r="D140" s="33">
        <f t="shared" si="2"/>
        <v>50</v>
      </c>
    </row>
    <row r="141" spans="1:4" ht="14.1" customHeight="1">
      <c r="A141" s="14">
        <v>136</v>
      </c>
      <c r="B141" s="15" t="s">
        <v>231</v>
      </c>
      <c r="C141" s="32">
        <v>7</v>
      </c>
      <c r="D141" s="33">
        <f t="shared" si="2"/>
        <v>63</v>
      </c>
    </row>
    <row r="142" spans="1:4" ht="14.1" customHeight="1">
      <c r="A142" s="14">
        <v>137</v>
      </c>
      <c r="B142" s="15" t="s">
        <v>232</v>
      </c>
      <c r="C142" s="32">
        <v>24</v>
      </c>
      <c r="D142" s="33">
        <f t="shared" si="2"/>
        <v>46</v>
      </c>
    </row>
    <row r="143" spans="1:4" ht="14.1" customHeight="1">
      <c r="A143" s="14">
        <v>138</v>
      </c>
      <c r="B143" s="15" t="s">
        <v>233</v>
      </c>
      <c r="C143" s="32">
        <v>17</v>
      </c>
      <c r="D143" s="33">
        <f t="shared" si="2"/>
        <v>53</v>
      </c>
    </row>
    <row r="144" spans="1:4" ht="14.1" customHeight="1">
      <c r="A144" s="14">
        <v>139</v>
      </c>
      <c r="B144" s="15" t="s">
        <v>234</v>
      </c>
      <c r="C144" s="32">
        <v>3</v>
      </c>
      <c r="D144" s="33">
        <f t="shared" si="2"/>
        <v>67</v>
      </c>
    </row>
    <row r="145" spans="1:4" ht="14.1" customHeight="1">
      <c r="A145" s="14">
        <v>140</v>
      </c>
      <c r="B145" s="15" t="s">
        <v>235</v>
      </c>
      <c r="C145" s="32">
        <v>8</v>
      </c>
      <c r="D145" s="33">
        <f t="shared" si="2"/>
        <v>62</v>
      </c>
    </row>
    <row r="146" spans="1:4" ht="14.1" customHeight="1">
      <c r="A146" s="14">
        <v>141</v>
      </c>
      <c r="B146" s="15" t="s">
        <v>236</v>
      </c>
      <c r="C146" s="32">
        <v>5</v>
      </c>
      <c r="D146" s="33">
        <f t="shared" si="2"/>
        <v>65</v>
      </c>
    </row>
    <row r="147" spans="1:4" ht="14.1" customHeight="1">
      <c r="A147" s="14">
        <v>142</v>
      </c>
      <c r="B147" s="15" t="s">
        <v>237</v>
      </c>
      <c r="C147" s="32">
        <v>9</v>
      </c>
      <c r="D147" s="33">
        <f t="shared" si="2"/>
        <v>61</v>
      </c>
    </row>
    <row r="148" spans="1:4" ht="14.1" customHeight="1">
      <c r="A148" s="14">
        <v>143</v>
      </c>
      <c r="B148" s="15" t="s">
        <v>238</v>
      </c>
      <c r="C148" s="32">
        <v>16</v>
      </c>
      <c r="D148" s="33">
        <f t="shared" si="2"/>
        <v>54</v>
      </c>
    </row>
    <row r="149" spans="1:4" ht="14.1" customHeight="1">
      <c r="A149" s="14">
        <v>144</v>
      </c>
      <c r="B149" s="15" t="s">
        <v>239</v>
      </c>
      <c r="C149" s="32">
        <v>22</v>
      </c>
      <c r="D149" s="33">
        <f t="shared" si="2"/>
        <v>48</v>
      </c>
    </row>
    <row r="150" spans="1:4" ht="14.1" customHeight="1">
      <c r="A150" s="14">
        <v>145</v>
      </c>
      <c r="B150" s="15" t="s">
        <v>240</v>
      </c>
      <c r="C150" s="32">
        <v>20</v>
      </c>
      <c r="D150" s="33">
        <f t="shared" si="2"/>
        <v>50</v>
      </c>
    </row>
    <row r="151" spans="1:4" ht="14.1" customHeight="1">
      <c r="A151" s="14">
        <v>146</v>
      </c>
      <c r="B151" s="15" t="s">
        <v>241</v>
      </c>
      <c r="C151" s="32">
        <v>13</v>
      </c>
      <c r="D151" s="33">
        <f t="shared" si="2"/>
        <v>57</v>
      </c>
    </row>
    <row r="152" spans="1:4" ht="14.1" customHeight="1">
      <c r="A152" s="14">
        <v>147</v>
      </c>
      <c r="B152" s="15" t="s">
        <v>242</v>
      </c>
      <c r="C152" s="32">
        <v>-3</v>
      </c>
      <c r="D152" s="33">
        <f t="shared" si="2"/>
        <v>73</v>
      </c>
    </row>
    <row r="153" spans="1:4" ht="14.1" customHeight="1">
      <c r="A153" s="14">
        <v>148</v>
      </c>
      <c r="B153" s="15" t="s">
        <v>243</v>
      </c>
      <c r="C153" s="32">
        <v>16</v>
      </c>
      <c r="D153" s="33">
        <f t="shared" si="2"/>
        <v>54</v>
      </c>
    </row>
    <row r="154" spans="1:4" ht="14.1" customHeight="1">
      <c r="A154" s="14">
        <v>149</v>
      </c>
      <c r="B154" s="15" t="s">
        <v>244</v>
      </c>
      <c r="C154" s="32">
        <v>27</v>
      </c>
      <c r="D154" s="33">
        <f t="shared" si="2"/>
        <v>43</v>
      </c>
    </row>
    <row r="155" spans="1:4" ht="14.1" customHeight="1">
      <c r="A155" s="14">
        <v>150</v>
      </c>
      <c r="B155" s="15" t="s">
        <v>245</v>
      </c>
      <c r="C155" s="32">
        <v>3</v>
      </c>
      <c r="D155" s="33">
        <f t="shared" si="2"/>
        <v>67</v>
      </c>
    </row>
    <row r="156" spans="1:4" ht="14.1" customHeight="1">
      <c r="A156" s="14">
        <v>151</v>
      </c>
      <c r="B156" s="15" t="s">
        <v>246</v>
      </c>
      <c r="C156" s="32">
        <v>28</v>
      </c>
      <c r="D156" s="33">
        <f t="shared" si="2"/>
        <v>42</v>
      </c>
    </row>
    <row r="157" spans="1:4" ht="14.1" customHeight="1">
      <c r="A157" s="14">
        <v>152</v>
      </c>
      <c r="B157" s="15" t="s">
        <v>247</v>
      </c>
      <c r="C157" s="32">
        <v>29</v>
      </c>
      <c r="D157" s="33">
        <f t="shared" si="2"/>
        <v>41</v>
      </c>
    </row>
    <row r="158" spans="1:4" ht="14.1" customHeight="1">
      <c r="A158" s="14">
        <v>153</v>
      </c>
      <c r="B158" s="15" t="s">
        <v>248</v>
      </c>
      <c r="C158" s="32">
        <v>25</v>
      </c>
      <c r="D158" s="33">
        <f t="shared" si="2"/>
        <v>45</v>
      </c>
    </row>
    <row r="159" spans="1:4" ht="14.1" customHeight="1">
      <c r="A159" s="14">
        <v>154</v>
      </c>
      <c r="B159" s="15" t="s">
        <v>249</v>
      </c>
      <c r="C159" s="32">
        <v>14</v>
      </c>
      <c r="D159" s="33">
        <f t="shared" si="2"/>
        <v>56</v>
      </c>
    </row>
    <row r="160" spans="1:4" ht="14.1" customHeight="1">
      <c r="A160" s="14">
        <v>155</v>
      </c>
      <c r="B160" s="15" t="s">
        <v>250</v>
      </c>
      <c r="C160" s="32">
        <v>12</v>
      </c>
      <c r="D160" s="33">
        <f t="shared" si="2"/>
        <v>58</v>
      </c>
    </row>
    <row r="161" spans="1:4" ht="14.1" customHeight="1">
      <c r="A161" s="14">
        <v>156</v>
      </c>
      <c r="B161" s="15" t="s">
        <v>251</v>
      </c>
      <c r="C161" s="32">
        <v>1</v>
      </c>
      <c r="D161" s="33">
        <f t="shared" si="2"/>
        <v>69</v>
      </c>
    </row>
    <row r="162" spans="1:4" ht="14.1" customHeight="1">
      <c r="A162" s="14">
        <v>157</v>
      </c>
      <c r="B162" s="15" t="s">
        <v>252</v>
      </c>
      <c r="C162" s="32">
        <v>19</v>
      </c>
      <c r="D162" s="33">
        <f t="shared" si="2"/>
        <v>51</v>
      </c>
    </row>
    <row r="163" spans="1:4" ht="14.1" customHeight="1">
      <c r="A163" s="14">
        <v>158</v>
      </c>
      <c r="B163" s="15" t="s">
        <v>253</v>
      </c>
      <c r="C163" s="32">
        <v>23</v>
      </c>
      <c r="D163" s="33">
        <f t="shared" si="2"/>
        <v>47</v>
      </c>
    </row>
    <row r="164" spans="1:4" ht="14.1" customHeight="1">
      <c r="A164" s="14">
        <v>159</v>
      </c>
      <c r="B164" s="15" t="s">
        <v>254</v>
      </c>
      <c r="C164" s="32">
        <v>23</v>
      </c>
      <c r="D164" s="33">
        <f t="shared" si="2"/>
        <v>47</v>
      </c>
    </row>
    <row r="165" spans="1:4" ht="14.1" customHeight="1">
      <c r="A165" s="14">
        <v>160</v>
      </c>
      <c r="B165" s="15" t="s">
        <v>255</v>
      </c>
      <c r="C165" s="32">
        <v>25</v>
      </c>
      <c r="D165" s="33">
        <f t="shared" si="2"/>
        <v>45</v>
      </c>
    </row>
    <row r="166" spans="1:4" ht="14.1" customHeight="1">
      <c r="A166" s="14">
        <v>161</v>
      </c>
      <c r="B166" s="15" t="s">
        <v>256</v>
      </c>
      <c r="C166" s="32">
        <v>4</v>
      </c>
      <c r="D166" s="33">
        <f t="shared" si="2"/>
        <v>66</v>
      </c>
    </row>
    <row r="167" spans="1:4" ht="14.1" customHeight="1">
      <c r="A167" s="14">
        <v>162</v>
      </c>
      <c r="B167" s="15" t="s">
        <v>257</v>
      </c>
      <c r="C167" s="32">
        <v>15</v>
      </c>
      <c r="D167" s="33">
        <f t="shared" si="2"/>
        <v>55</v>
      </c>
    </row>
    <row r="168" spans="1:4" ht="14.1" customHeight="1">
      <c r="A168" s="14">
        <v>163</v>
      </c>
      <c r="B168" s="15" t="s">
        <v>258</v>
      </c>
      <c r="C168" s="32">
        <v>8</v>
      </c>
      <c r="D168" s="33">
        <f t="shared" si="2"/>
        <v>62</v>
      </c>
    </row>
    <row r="169" spans="1:4" ht="14.1" customHeight="1">
      <c r="A169" s="14">
        <v>164</v>
      </c>
      <c r="B169" s="15" t="s">
        <v>259</v>
      </c>
      <c r="C169" s="32">
        <v>28</v>
      </c>
      <c r="D169" s="33">
        <f t="shared" si="2"/>
        <v>42</v>
      </c>
    </row>
    <row r="170" spans="1:4" ht="14.1" customHeight="1">
      <c r="A170" s="14">
        <v>165</v>
      </c>
      <c r="B170" s="15" t="s">
        <v>260</v>
      </c>
      <c r="C170" s="32">
        <v>17</v>
      </c>
      <c r="D170" s="33">
        <f t="shared" si="2"/>
        <v>53</v>
      </c>
    </row>
    <row r="171" spans="1:4" ht="14.1" customHeight="1">
      <c r="A171" s="14">
        <v>166</v>
      </c>
      <c r="B171" s="15" t="s">
        <v>261</v>
      </c>
      <c r="C171" s="32">
        <v>24</v>
      </c>
      <c r="D171" s="33">
        <f t="shared" si="2"/>
        <v>46</v>
      </c>
    </row>
    <row r="172" spans="1:4" ht="14.1" customHeight="1">
      <c r="A172" s="14">
        <v>167</v>
      </c>
      <c r="B172" s="15" t="s">
        <v>262</v>
      </c>
      <c r="C172" s="32">
        <v>-9</v>
      </c>
      <c r="D172" s="33">
        <f t="shared" si="2"/>
        <v>79</v>
      </c>
    </row>
    <row r="173" spans="1:4" ht="14.1" customHeight="1">
      <c r="A173" s="14">
        <v>168</v>
      </c>
      <c r="B173" s="15" t="s">
        <v>263</v>
      </c>
      <c r="C173" s="32">
        <v>11</v>
      </c>
      <c r="D173" s="33">
        <f t="shared" si="2"/>
        <v>59</v>
      </c>
    </row>
    <row r="174" spans="1:4" ht="14.1" customHeight="1">
      <c r="A174" s="14">
        <v>169</v>
      </c>
      <c r="B174" s="15" t="s">
        <v>264</v>
      </c>
      <c r="C174" s="32">
        <v>4</v>
      </c>
      <c r="D174" s="33">
        <f t="shared" si="2"/>
        <v>66</v>
      </c>
    </row>
    <row r="175" spans="1:4" ht="14.1" customHeight="1">
      <c r="A175" s="14">
        <v>170</v>
      </c>
      <c r="B175" s="15" t="s">
        <v>265</v>
      </c>
      <c r="C175" s="32">
        <v>6</v>
      </c>
      <c r="D175" s="33">
        <f t="shared" si="2"/>
        <v>64</v>
      </c>
    </row>
    <row r="176" spans="1:4" ht="14.1" customHeight="1">
      <c r="A176" s="14">
        <v>171</v>
      </c>
      <c r="B176" s="15" t="s">
        <v>266</v>
      </c>
      <c r="C176" s="32">
        <v>6</v>
      </c>
      <c r="D176" s="33">
        <f t="shared" si="2"/>
        <v>64</v>
      </c>
    </row>
    <row r="177" spans="1:4" ht="14.1" customHeight="1">
      <c r="A177" s="14">
        <v>172</v>
      </c>
      <c r="B177" s="15" t="s">
        <v>267</v>
      </c>
      <c r="C177" s="32">
        <v>14</v>
      </c>
      <c r="D177" s="33">
        <f t="shared" si="2"/>
        <v>56</v>
      </c>
    </row>
    <row r="178" spans="1:4" ht="14.1" customHeight="1">
      <c r="A178" s="14">
        <v>173</v>
      </c>
      <c r="B178" s="15" t="s">
        <v>268</v>
      </c>
      <c r="C178" s="32">
        <v>15</v>
      </c>
      <c r="D178" s="33">
        <f t="shared" si="2"/>
        <v>55</v>
      </c>
    </row>
    <row r="179" spans="1:4" ht="14.1" customHeight="1">
      <c r="A179" s="14">
        <v>174</v>
      </c>
      <c r="B179" s="15" t="s">
        <v>269</v>
      </c>
      <c r="C179" s="32">
        <v>23</v>
      </c>
      <c r="D179" s="33">
        <f t="shared" si="2"/>
        <v>47</v>
      </c>
    </row>
    <row r="180" spans="1:4" ht="14.1" customHeight="1">
      <c r="A180" s="14">
        <v>175</v>
      </c>
      <c r="B180" s="15" t="s">
        <v>270</v>
      </c>
      <c r="C180" s="32">
        <v>10</v>
      </c>
      <c r="D180" s="33">
        <f t="shared" si="2"/>
        <v>60</v>
      </c>
    </row>
    <row r="181" spans="1:4" ht="14.1" customHeight="1">
      <c r="A181" s="14">
        <v>176</v>
      </c>
      <c r="B181" s="15" t="s">
        <v>271</v>
      </c>
      <c r="C181" s="32">
        <v>24</v>
      </c>
      <c r="D181" s="33">
        <f t="shared" si="2"/>
        <v>46</v>
      </c>
    </row>
    <row r="182" spans="1:4" ht="14.1" customHeight="1">
      <c r="A182" s="14">
        <v>177</v>
      </c>
      <c r="B182" s="15" t="s">
        <v>272</v>
      </c>
      <c r="C182" s="32">
        <v>19</v>
      </c>
      <c r="D182" s="33">
        <f t="shared" si="2"/>
        <v>51</v>
      </c>
    </row>
    <row r="183" spans="1:4" ht="14.1" customHeight="1">
      <c r="A183" s="14">
        <v>178</v>
      </c>
      <c r="B183" s="15" t="s">
        <v>273</v>
      </c>
      <c r="C183" s="32">
        <v>11</v>
      </c>
      <c r="D183" s="33">
        <f t="shared" si="2"/>
        <v>59</v>
      </c>
    </row>
    <row r="184" spans="1:4" ht="14.1" customHeight="1">
      <c r="A184" s="14">
        <v>179</v>
      </c>
      <c r="B184" s="15" t="s">
        <v>274</v>
      </c>
      <c r="C184" s="32">
        <v>23</v>
      </c>
      <c r="D184" s="33">
        <f t="shared" si="2"/>
        <v>47</v>
      </c>
    </row>
    <row r="185" spans="1:4" ht="14.1" customHeight="1">
      <c r="A185" s="14">
        <v>180</v>
      </c>
      <c r="B185" s="15" t="s">
        <v>275</v>
      </c>
      <c r="C185" s="32">
        <v>23</v>
      </c>
      <c r="D185" s="33">
        <f t="shared" si="2"/>
        <v>47</v>
      </c>
    </row>
    <row r="186" spans="1:4" ht="14.1" customHeight="1">
      <c r="A186" s="14">
        <v>181</v>
      </c>
      <c r="B186" s="15" t="s">
        <v>276</v>
      </c>
      <c r="C186" s="32">
        <v>23</v>
      </c>
      <c r="D186" s="33">
        <f t="shared" si="2"/>
        <v>47</v>
      </c>
    </row>
    <row r="187" spans="1:4" ht="14.1" customHeight="1">
      <c r="A187" s="14">
        <v>182</v>
      </c>
      <c r="B187" s="15" t="s">
        <v>277</v>
      </c>
      <c r="C187" s="32">
        <v>24</v>
      </c>
      <c r="D187" s="33">
        <f t="shared" si="2"/>
        <v>46</v>
      </c>
    </row>
    <row r="188" spans="1:4" ht="14.1" customHeight="1">
      <c r="A188" s="14">
        <v>183</v>
      </c>
      <c r="B188" s="15" t="s">
        <v>278</v>
      </c>
      <c r="C188" s="32">
        <v>8</v>
      </c>
      <c r="D188" s="33">
        <f t="shared" si="2"/>
        <v>62</v>
      </c>
    </row>
    <row r="189" spans="1:4" ht="14.1" customHeight="1">
      <c r="A189" s="14">
        <v>184</v>
      </c>
      <c r="B189" s="15" t="s">
        <v>279</v>
      </c>
      <c r="C189" s="32">
        <v>21</v>
      </c>
      <c r="D189" s="33">
        <f t="shared" si="2"/>
        <v>49</v>
      </c>
    </row>
    <row r="190" spans="1:4" ht="14.1" customHeight="1">
      <c r="A190" s="14">
        <v>185</v>
      </c>
      <c r="B190" s="15" t="s">
        <v>280</v>
      </c>
      <c r="C190" s="32">
        <v>22</v>
      </c>
      <c r="D190" s="33">
        <f t="shared" si="2"/>
        <v>48</v>
      </c>
    </row>
    <row r="191" spans="1:4" ht="14.1" customHeight="1">
      <c r="A191" s="14">
        <v>186</v>
      </c>
      <c r="B191" s="15" t="s">
        <v>281</v>
      </c>
      <c r="C191" s="32">
        <v>6</v>
      </c>
      <c r="D191" s="33">
        <f t="shared" si="2"/>
        <v>64</v>
      </c>
    </row>
    <row r="192" spans="1:4" ht="14.1" customHeight="1">
      <c r="A192" s="14">
        <v>187</v>
      </c>
      <c r="B192" s="15" t="s">
        <v>282</v>
      </c>
      <c r="C192" s="32">
        <v>11</v>
      </c>
      <c r="D192" s="33">
        <f t="shared" si="2"/>
        <v>59</v>
      </c>
    </row>
    <row r="193" spans="1:4" ht="14.1" customHeight="1">
      <c r="A193" s="14">
        <v>188</v>
      </c>
      <c r="B193" s="15" t="s">
        <v>283</v>
      </c>
      <c r="C193" s="32">
        <v>24</v>
      </c>
      <c r="D193" s="33">
        <f t="shared" si="2"/>
        <v>46</v>
      </c>
    </row>
    <row r="194" spans="1:4" ht="14.1" customHeight="1">
      <c r="A194" s="14">
        <v>189</v>
      </c>
      <c r="B194" s="15" t="s">
        <v>284</v>
      </c>
      <c r="C194" s="32">
        <v>20</v>
      </c>
      <c r="D194" s="33">
        <f t="shared" si="2"/>
        <v>50</v>
      </c>
    </row>
    <row r="195" spans="1:4" ht="14.1" customHeight="1">
      <c r="A195" s="14">
        <v>190</v>
      </c>
      <c r="B195" s="15" t="s">
        <v>285</v>
      </c>
      <c r="C195" s="32">
        <v>4</v>
      </c>
      <c r="D195" s="33">
        <f t="shared" si="2"/>
        <v>66</v>
      </c>
    </row>
    <row r="196" spans="1:4" ht="14.1" customHeight="1">
      <c r="A196" s="14">
        <v>191</v>
      </c>
      <c r="B196" s="15" t="s">
        <v>286</v>
      </c>
      <c r="C196" s="32">
        <v>10</v>
      </c>
      <c r="D196" s="33">
        <f t="shared" si="2"/>
        <v>60</v>
      </c>
    </row>
    <row r="197" spans="1:4" ht="14.1" customHeight="1">
      <c r="A197" s="14">
        <v>192</v>
      </c>
      <c r="B197" s="15" t="s">
        <v>287</v>
      </c>
      <c r="C197" s="32">
        <v>4</v>
      </c>
      <c r="D197" s="33">
        <f t="shared" si="2"/>
        <v>66</v>
      </c>
    </row>
    <row r="198" spans="1:4" ht="14.1" customHeight="1">
      <c r="A198" s="14">
        <v>193</v>
      </c>
      <c r="B198" s="15" t="s">
        <v>288</v>
      </c>
      <c r="C198" s="32">
        <v>4</v>
      </c>
      <c r="D198" s="33">
        <f t="shared" si="2"/>
        <v>66</v>
      </c>
    </row>
    <row r="199" spans="1:4" ht="14.1" customHeight="1">
      <c r="A199" s="14">
        <v>194</v>
      </c>
      <c r="B199" s="15" t="s">
        <v>289</v>
      </c>
      <c r="C199" s="32">
        <v>7</v>
      </c>
      <c r="D199" s="33">
        <f t="shared" si="2"/>
        <v>63</v>
      </c>
    </row>
    <row r="200" spans="1:4" ht="14.1" customHeight="1">
      <c r="A200" s="14">
        <v>195</v>
      </c>
      <c r="B200" s="15" t="s">
        <v>290</v>
      </c>
      <c r="C200" s="32">
        <v>20</v>
      </c>
      <c r="D200" s="33">
        <f t="shared" ref="D200:D240" si="3">70-C200</f>
        <v>50</v>
      </c>
    </row>
    <row r="201" spans="1:4" ht="14.1" customHeight="1">
      <c r="A201" s="14">
        <v>196</v>
      </c>
      <c r="B201" s="15" t="s">
        <v>291</v>
      </c>
      <c r="C201" s="32">
        <v>12</v>
      </c>
      <c r="D201" s="33">
        <f t="shared" si="3"/>
        <v>58</v>
      </c>
    </row>
    <row r="202" spans="1:4" ht="14.1" customHeight="1">
      <c r="A202" s="14">
        <v>197</v>
      </c>
      <c r="B202" s="15" t="s">
        <v>292</v>
      </c>
      <c r="C202" s="32">
        <v>21</v>
      </c>
      <c r="D202" s="33">
        <f t="shared" si="3"/>
        <v>49</v>
      </c>
    </row>
    <row r="203" spans="1:4" ht="14.1" customHeight="1">
      <c r="A203" s="14">
        <v>198</v>
      </c>
      <c r="B203" s="15" t="s">
        <v>293</v>
      </c>
      <c r="C203" s="32">
        <v>6</v>
      </c>
      <c r="D203" s="33">
        <f t="shared" si="3"/>
        <v>64</v>
      </c>
    </row>
    <row r="204" spans="1:4" ht="14.1" customHeight="1">
      <c r="A204" s="14">
        <v>199</v>
      </c>
      <c r="B204" s="15" t="s">
        <v>294</v>
      </c>
      <c r="C204" s="32">
        <v>-14</v>
      </c>
      <c r="D204" s="33">
        <f t="shared" si="3"/>
        <v>84</v>
      </c>
    </row>
    <row r="205" spans="1:4" ht="14.1" customHeight="1">
      <c r="A205" s="14">
        <v>200</v>
      </c>
      <c r="B205" s="15" t="s">
        <v>295</v>
      </c>
      <c r="C205" s="32">
        <v>19</v>
      </c>
      <c r="D205" s="33">
        <f t="shared" si="3"/>
        <v>51</v>
      </c>
    </row>
    <row r="206" spans="1:4" ht="14.1" customHeight="1">
      <c r="A206" s="14">
        <v>201</v>
      </c>
      <c r="B206" s="15" t="s">
        <v>296</v>
      </c>
      <c r="C206" s="32">
        <v>12</v>
      </c>
      <c r="D206" s="33">
        <f t="shared" si="3"/>
        <v>58</v>
      </c>
    </row>
    <row r="207" spans="1:4" ht="14.1" customHeight="1">
      <c r="A207" s="14">
        <v>202</v>
      </c>
      <c r="B207" s="15" t="s">
        <v>297</v>
      </c>
      <c r="C207" s="32">
        <v>21</v>
      </c>
      <c r="D207" s="33">
        <f t="shared" si="3"/>
        <v>49</v>
      </c>
    </row>
    <row r="208" spans="1:4" ht="14.1" customHeight="1">
      <c r="A208" s="14">
        <v>203</v>
      </c>
      <c r="B208" s="15" t="s">
        <v>298</v>
      </c>
      <c r="C208" s="32">
        <v>29</v>
      </c>
      <c r="D208" s="33">
        <f t="shared" si="3"/>
        <v>41</v>
      </c>
    </row>
    <row r="209" spans="1:4" ht="14.1" customHeight="1">
      <c r="A209" s="14">
        <v>204</v>
      </c>
      <c r="B209" s="15" t="s">
        <v>299</v>
      </c>
      <c r="C209" s="32">
        <v>31</v>
      </c>
      <c r="D209" s="33">
        <f t="shared" si="3"/>
        <v>39</v>
      </c>
    </row>
    <row r="210" spans="1:4" ht="14.1" customHeight="1">
      <c r="A210" s="14">
        <v>205</v>
      </c>
      <c r="B210" s="15" t="s">
        <v>300</v>
      </c>
      <c r="C210" s="32">
        <v>20</v>
      </c>
      <c r="D210" s="33">
        <f t="shared" si="3"/>
        <v>50</v>
      </c>
    </row>
    <row r="211" spans="1:4" ht="14.1" customHeight="1">
      <c r="A211" s="14">
        <v>206</v>
      </c>
      <c r="B211" s="15" t="s">
        <v>301</v>
      </c>
      <c r="C211" s="32">
        <v>6</v>
      </c>
      <c r="D211" s="33">
        <f t="shared" si="3"/>
        <v>64</v>
      </c>
    </row>
    <row r="212" spans="1:4" ht="14.1" customHeight="1">
      <c r="A212" s="14">
        <v>207</v>
      </c>
      <c r="B212" s="15" t="s">
        <v>302</v>
      </c>
      <c r="C212" s="32">
        <v>17</v>
      </c>
      <c r="D212" s="33">
        <f t="shared" si="3"/>
        <v>53</v>
      </c>
    </row>
    <row r="213" spans="1:4" ht="14.1" customHeight="1">
      <c r="A213" s="14">
        <v>208</v>
      </c>
      <c r="B213" s="15" t="s">
        <v>303</v>
      </c>
      <c r="C213" s="32">
        <v>11</v>
      </c>
      <c r="D213" s="33">
        <f t="shared" si="3"/>
        <v>59</v>
      </c>
    </row>
    <row r="214" spans="1:4" ht="14.1" customHeight="1">
      <c r="A214" s="14">
        <v>209</v>
      </c>
      <c r="B214" s="15" t="s">
        <v>304</v>
      </c>
      <c r="C214" s="32">
        <v>13</v>
      </c>
      <c r="D214" s="33">
        <f t="shared" si="3"/>
        <v>57</v>
      </c>
    </row>
    <row r="215" spans="1:4" ht="14.1" customHeight="1">
      <c r="A215" s="14">
        <v>210</v>
      </c>
      <c r="B215" s="15" t="s">
        <v>305</v>
      </c>
      <c r="C215" s="32">
        <v>24</v>
      </c>
      <c r="D215" s="33">
        <f t="shared" si="3"/>
        <v>46</v>
      </c>
    </row>
    <row r="216" spans="1:4" ht="14.1" customHeight="1">
      <c r="A216" s="14">
        <v>211</v>
      </c>
      <c r="B216" s="15" t="s">
        <v>306</v>
      </c>
      <c r="C216" s="32">
        <v>17</v>
      </c>
      <c r="D216" s="33">
        <f t="shared" si="3"/>
        <v>53</v>
      </c>
    </row>
    <row r="217" spans="1:4" ht="14.1" customHeight="1">
      <c r="A217" s="14">
        <v>212</v>
      </c>
      <c r="B217" s="15" t="s">
        <v>307</v>
      </c>
      <c r="C217" s="32">
        <v>29</v>
      </c>
      <c r="D217" s="33">
        <f t="shared" si="3"/>
        <v>41</v>
      </c>
    </row>
    <row r="218" spans="1:4" ht="14.1" customHeight="1">
      <c r="A218" s="14">
        <v>213</v>
      </c>
      <c r="B218" s="15" t="s">
        <v>308</v>
      </c>
      <c r="C218" s="32">
        <v>14</v>
      </c>
      <c r="D218" s="33">
        <f t="shared" si="3"/>
        <v>56</v>
      </c>
    </row>
    <row r="219" spans="1:4" ht="14.1" customHeight="1">
      <c r="A219" s="14">
        <v>214</v>
      </c>
      <c r="B219" s="15" t="s">
        <v>309</v>
      </c>
      <c r="C219" s="32">
        <v>22</v>
      </c>
      <c r="D219" s="33">
        <f t="shared" si="3"/>
        <v>48</v>
      </c>
    </row>
    <row r="220" spans="1:4" ht="14.1" customHeight="1">
      <c r="A220" s="14">
        <v>215</v>
      </c>
      <c r="B220" s="15" t="s">
        <v>310</v>
      </c>
      <c r="C220" s="32">
        <v>28</v>
      </c>
      <c r="D220" s="33">
        <f t="shared" si="3"/>
        <v>42</v>
      </c>
    </row>
    <row r="221" spans="1:4" ht="14.1" customHeight="1">
      <c r="A221" s="14">
        <v>216</v>
      </c>
      <c r="B221" s="15" t="s">
        <v>311</v>
      </c>
      <c r="C221" s="32">
        <v>6</v>
      </c>
      <c r="D221" s="33">
        <f t="shared" si="3"/>
        <v>64</v>
      </c>
    </row>
    <row r="222" spans="1:4" ht="14.1" customHeight="1">
      <c r="A222" s="14">
        <v>217</v>
      </c>
      <c r="B222" s="15" t="s">
        <v>312</v>
      </c>
      <c r="C222" s="32">
        <v>13</v>
      </c>
      <c r="D222" s="33">
        <f t="shared" si="3"/>
        <v>57</v>
      </c>
    </row>
    <row r="223" spans="1:4" ht="14.1" customHeight="1">
      <c r="A223" s="14">
        <v>218</v>
      </c>
      <c r="B223" s="15" t="s">
        <v>313</v>
      </c>
      <c r="C223" s="32">
        <v>10</v>
      </c>
      <c r="D223" s="33">
        <f t="shared" si="3"/>
        <v>60</v>
      </c>
    </row>
    <row r="224" spans="1:4" ht="14.1" customHeight="1">
      <c r="A224" s="14">
        <v>219</v>
      </c>
      <c r="B224" s="15" t="s">
        <v>314</v>
      </c>
      <c r="C224" s="32">
        <v>21</v>
      </c>
      <c r="D224" s="33">
        <f t="shared" si="3"/>
        <v>49</v>
      </c>
    </row>
    <row r="225" spans="1:4" ht="14.1" customHeight="1">
      <c r="A225" s="14">
        <v>220</v>
      </c>
      <c r="B225" s="15" t="s">
        <v>315</v>
      </c>
      <c r="C225" s="32">
        <v>1</v>
      </c>
      <c r="D225" s="33">
        <f t="shared" si="3"/>
        <v>69</v>
      </c>
    </row>
    <row r="226" spans="1:4" ht="14.1" customHeight="1">
      <c r="A226" s="14">
        <v>221</v>
      </c>
      <c r="B226" s="15" t="s">
        <v>316</v>
      </c>
      <c r="C226" s="32">
        <v>14</v>
      </c>
      <c r="D226" s="33">
        <f t="shared" si="3"/>
        <v>56</v>
      </c>
    </row>
    <row r="227" spans="1:4" ht="14.1" customHeight="1">
      <c r="A227" s="14">
        <v>222</v>
      </c>
      <c r="B227" s="15" t="s">
        <v>317</v>
      </c>
      <c r="C227" s="32">
        <v>1</v>
      </c>
      <c r="D227" s="33">
        <f t="shared" si="3"/>
        <v>69</v>
      </c>
    </row>
    <row r="228" spans="1:4" ht="14.1" customHeight="1">
      <c r="A228" s="14">
        <v>223</v>
      </c>
      <c r="B228" s="15" t="s">
        <v>318</v>
      </c>
      <c r="C228" s="32">
        <v>13</v>
      </c>
      <c r="D228" s="33">
        <f t="shared" si="3"/>
        <v>57</v>
      </c>
    </row>
    <row r="229" spans="1:4" ht="14.1" customHeight="1">
      <c r="A229" s="14">
        <v>224</v>
      </c>
      <c r="B229" s="15" t="s">
        <v>319</v>
      </c>
      <c r="C229" s="32">
        <v>10</v>
      </c>
      <c r="D229" s="33">
        <f t="shared" si="3"/>
        <v>60</v>
      </c>
    </row>
    <row r="230" spans="1:4" ht="14.1" customHeight="1">
      <c r="A230" s="14">
        <v>225</v>
      </c>
      <c r="B230" s="15" t="s">
        <v>320</v>
      </c>
      <c r="C230" s="32">
        <v>10</v>
      </c>
      <c r="D230" s="33">
        <f t="shared" si="3"/>
        <v>60</v>
      </c>
    </row>
    <row r="231" spans="1:4" ht="14.1" customHeight="1">
      <c r="A231" s="14">
        <v>226</v>
      </c>
      <c r="B231" s="15" t="s">
        <v>321</v>
      </c>
      <c r="C231" s="32">
        <v>11</v>
      </c>
      <c r="D231" s="33">
        <f t="shared" si="3"/>
        <v>59</v>
      </c>
    </row>
    <row r="232" spans="1:4" ht="14.1" customHeight="1">
      <c r="A232" s="14">
        <v>227</v>
      </c>
      <c r="B232" s="15" t="s">
        <v>322</v>
      </c>
      <c r="C232" s="32">
        <v>12</v>
      </c>
      <c r="D232" s="33">
        <f t="shared" si="3"/>
        <v>58</v>
      </c>
    </row>
    <row r="233" spans="1:4" ht="14.1" customHeight="1">
      <c r="A233" s="14">
        <v>228</v>
      </c>
      <c r="B233" s="15" t="s">
        <v>323</v>
      </c>
      <c r="C233" s="32">
        <v>8</v>
      </c>
      <c r="D233" s="33">
        <f t="shared" si="3"/>
        <v>62</v>
      </c>
    </row>
    <row r="234" spans="1:4" ht="14.1" customHeight="1">
      <c r="A234" s="14">
        <v>229</v>
      </c>
      <c r="B234" s="15" t="s">
        <v>324</v>
      </c>
      <c r="C234" s="32">
        <v>11</v>
      </c>
      <c r="D234" s="33">
        <f t="shared" si="3"/>
        <v>59</v>
      </c>
    </row>
    <row r="235" spans="1:4" ht="14.1" customHeight="1">
      <c r="A235" s="14">
        <v>230</v>
      </c>
      <c r="B235" s="15" t="s">
        <v>325</v>
      </c>
      <c r="C235" s="32">
        <v>4</v>
      </c>
      <c r="D235" s="33">
        <f t="shared" si="3"/>
        <v>66</v>
      </c>
    </row>
    <row r="236" spans="1:4" ht="14.1" customHeight="1">
      <c r="A236" s="14">
        <v>231</v>
      </c>
      <c r="B236" s="15" t="s">
        <v>326</v>
      </c>
      <c r="C236" s="32">
        <v>26</v>
      </c>
      <c r="D236" s="33">
        <f t="shared" si="3"/>
        <v>44</v>
      </c>
    </row>
    <row r="237" spans="1:4" ht="14.1" customHeight="1">
      <c r="A237" s="14">
        <v>232</v>
      </c>
      <c r="B237" s="15" t="s">
        <v>327</v>
      </c>
      <c r="C237" s="32">
        <v>3</v>
      </c>
      <c r="D237" s="33">
        <f t="shared" si="3"/>
        <v>67</v>
      </c>
    </row>
    <row r="238" spans="1:4" ht="14.1" customHeight="1">
      <c r="A238" s="14">
        <v>233</v>
      </c>
      <c r="B238" s="15" t="s">
        <v>328</v>
      </c>
      <c r="C238" s="32">
        <v>15</v>
      </c>
      <c r="D238" s="33">
        <f t="shared" si="3"/>
        <v>55</v>
      </c>
    </row>
    <row r="239" spans="1:4" ht="14.1" customHeight="1">
      <c r="A239" s="14">
        <v>234</v>
      </c>
      <c r="B239" s="15" t="s">
        <v>329</v>
      </c>
      <c r="C239" s="32">
        <v>-12</v>
      </c>
      <c r="D239" s="33">
        <f t="shared" si="3"/>
        <v>82</v>
      </c>
    </row>
    <row r="240" spans="1:4" ht="14.1" customHeight="1">
      <c r="A240" s="14">
        <v>235</v>
      </c>
      <c r="B240" s="15" t="s">
        <v>330</v>
      </c>
      <c r="C240" s="32">
        <v>11</v>
      </c>
      <c r="D240" s="33">
        <f t="shared" si="3"/>
        <v>59</v>
      </c>
    </row>
  </sheetData>
  <sheetProtection insertHyperlinks="0" selectLockedCells="1" pivotTables="0"/>
  <customSheetViews>
    <customSheetView guid="{3A20BFFC-9D9E-415D-AC5D-1CC81DA9B04C}">
      <pane ySplit="3" topLeftCell="A4" activePane="bottomLeft" state="frozen"/>
      <selection pane="bottomLeft" activeCell="A4" sqref="A4"/>
      <pageMargins left="0.75" right="0.75" top="1" bottom="1" header="0.5" footer="0.5"/>
      <pageSetup orientation="portrait" r:id="rId1"/>
      <headerFooter alignWithMargins="0"/>
    </customSheetView>
  </customSheetViews>
  <phoneticPr fontId="0" type="noConversion"/>
  <hyperlinks>
    <hyperlink ref="F1" location="'Terms of Use'!A1" display="(C) 2017" xr:uid="{00000000-0004-0000-0F00-000000000000}"/>
  </hyperlinks>
  <pageMargins left="0.75" right="0.75" top="1" bottom="1" header="0.5" footer="0.5"/>
  <pageSetup orientation="portrait" r:id="rId2"/>
  <headerFooter alignWithMargins="0"/>
  <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rototypes"/>
  <dimension ref="A2:BI20"/>
  <sheetViews>
    <sheetView zoomScaleNormal="100" workbookViewId="0"/>
  </sheetViews>
  <sheetFormatPr defaultRowHeight="12.75"/>
  <cols>
    <col min="1" max="61" width="11.42578125" customWidth="1"/>
  </cols>
  <sheetData>
    <row r="2" spans="1:61" ht="14.25">
      <c r="A2" s="634" t="s">
        <v>2323</v>
      </c>
      <c r="B2" s="634"/>
      <c r="C2" s="634"/>
      <c r="D2" s="634"/>
      <c r="E2" s="634"/>
      <c r="F2" s="634"/>
      <c r="G2" s="634"/>
      <c r="H2" s="634"/>
      <c r="I2" s="634"/>
      <c r="J2" s="634"/>
      <c r="K2" s="634"/>
      <c r="L2" s="634"/>
      <c r="M2" s="634"/>
      <c r="N2" s="634"/>
      <c r="O2" s="635"/>
      <c r="P2" s="635"/>
      <c r="Q2" s="635"/>
      <c r="R2" s="635"/>
      <c r="S2" s="635"/>
      <c r="T2" s="636"/>
      <c r="U2" s="636"/>
      <c r="V2" s="636"/>
      <c r="W2" s="636"/>
      <c r="X2" s="636"/>
      <c r="Y2" s="636"/>
      <c r="Z2" s="636"/>
      <c r="AA2" s="636"/>
      <c r="AB2" s="636"/>
      <c r="AC2" s="636"/>
      <c r="AD2" s="636"/>
      <c r="AE2" s="636"/>
      <c r="AF2" s="636"/>
      <c r="AG2" s="636"/>
      <c r="AH2" s="636"/>
      <c r="AI2" s="636"/>
      <c r="AJ2" s="636"/>
      <c r="AK2" s="636"/>
      <c r="AL2" s="636"/>
      <c r="AM2" s="636"/>
      <c r="AN2" s="636"/>
      <c r="AO2" s="636"/>
      <c r="AP2" s="636"/>
      <c r="AQ2" s="636"/>
      <c r="AR2" s="636"/>
      <c r="AS2" s="636"/>
      <c r="AT2" s="636"/>
      <c r="AU2" s="636"/>
      <c r="AV2" s="636"/>
      <c r="AW2" s="636"/>
      <c r="AX2" s="636"/>
      <c r="AY2" s="636"/>
      <c r="AZ2" s="636"/>
      <c r="BA2" s="636"/>
      <c r="BB2" s="636"/>
      <c r="BC2" s="636"/>
      <c r="BD2" s="636"/>
      <c r="BE2" s="636"/>
      <c r="BF2" s="636"/>
      <c r="BG2" s="636"/>
      <c r="BH2" s="636"/>
      <c r="BI2" s="636"/>
    </row>
    <row r="3" spans="1:61" ht="45">
      <c r="A3" s="637" t="s">
        <v>2597</v>
      </c>
      <c r="B3" s="638" t="s">
        <v>2598</v>
      </c>
      <c r="C3" s="639" t="s">
        <v>2599</v>
      </c>
      <c r="D3" s="639" t="s">
        <v>2600</v>
      </c>
      <c r="E3" s="639" t="s">
        <v>2655</v>
      </c>
      <c r="F3" s="639" t="s">
        <v>2656</v>
      </c>
      <c r="G3" s="639" t="s">
        <v>2657</v>
      </c>
      <c r="H3" s="639" t="s">
        <v>2658</v>
      </c>
      <c r="I3" s="639" t="s">
        <v>2601</v>
      </c>
      <c r="J3" s="639" t="s">
        <v>2602</v>
      </c>
      <c r="K3" s="639" t="s">
        <v>2603</v>
      </c>
      <c r="L3" s="639" t="s">
        <v>2604</v>
      </c>
      <c r="M3" s="639" t="s">
        <v>2605</v>
      </c>
      <c r="N3" s="639" t="s">
        <v>2606</v>
      </c>
      <c r="O3" s="639" t="s">
        <v>2607</v>
      </c>
      <c r="P3" s="639" t="s">
        <v>2608</v>
      </c>
      <c r="Q3" s="639" t="s">
        <v>2609</v>
      </c>
      <c r="R3" s="639" t="s">
        <v>2610</v>
      </c>
      <c r="S3" s="639" t="s">
        <v>2611</v>
      </c>
      <c r="T3" s="639" t="s">
        <v>2612</v>
      </c>
      <c r="U3" s="639" t="s">
        <v>2613</v>
      </c>
      <c r="V3" s="639" t="s">
        <v>2614</v>
      </c>
      <c r="W3" s="639" t="s">
        <v>2615</v>
      </c>
      <c r="X3" s="639" t="s">
        <v>2616</v>
      </c>
      <c r="Y3" s="639" t="s">
        <v>2617</v>
      </c>
      <c r="Z3" s="639" t="s">
        <v>2618</v>
      </c>
      <c r="AA3" s="639" t="s">
        <v>2619</v>
      </c>
      <c r="AB3" s="639" t="s">
        <v>2620</v>
      </c>
      <c r="AC3" s="639" t="s">
        <v>2621</v>
      </c>
      <c r="AD3" s="639" t="s">
        <v>2622</v>
      </c>
      <c r="AE3" s="639" t="s">
        <v>2623</v>
      </c>
      <c r="AF3" s="639" t="s">
        <v>2624</v>
      </c>
      <c r="AG3" s="639" t="s">
        <v>2625</v>
      </c>
      <c r="AH3" s="639" t="s">
        <v>2626</v>
      </c>
      <c r="AI3" s="638" t="s">
        <v>2627</v>
      </c>
      <c r="AJ3" s="638" t="s">
        <v>2628</v>
      </c>
      <c r="AK3" s="638" t="s">
        <v>2629</v>
      </c>
      <c r="AL3" s="638" t="s">
        <v>2630</v>
      </c>
      <c r="AM3" s="638" t="s">
        <v>2631</v>
      </c>
      <c r="AN3" s="638" t="s">
        <v>2632</v>
      </c>
      <c r="AO3" s="638" t="s">
        <v>2633</v>
      </c>
      <c r="AP3" s="638" t="s">
        <v>2634</v>
      </c>
      <c r="AQ3" s="638" t="s">
        <v>2635</v>
      </c>
      <c r="AR3" s="638" t="s">
        <v>2636</v>
      </c>
      <c r="AS3" s="638" t="s">
        <v>2637</v>
      </c>
      <c r="AT3" s="638" t="s">
        <v>2638</v>
      </c>
      <c r="AU3" s="638" t="s">
        <v>2639</v>
      </c>
      <c r="AV3" s="638" t="s">
        <v>2640</v>
      </c>
      <c r="AW3" s="638" t="s">
        <v>2641</v>
      </c>
      <c r="AX3" s="638" t="s">
        <v>2642</v>
      </c>
      <c r="AY3" s="638" t="s">
        <v>2643</v>
      </c>
      <c r="AZ3" s="638" t="s">
        <v>2644</v>
      </c>
      <c r="BA3" s="638" t="s">
        <v>2645</v>
      </c>
      <c r="BB3" s="638" t="s">
        <v>2646</v>
      </c>
      <c r="BC3" s="638" t="s">
        <v>2647</v>
      </c>
      <c r="BD3" s="638" t="s">
        <v>2648</v>
      </c>
      <c r="BE3" s="638" t="s">
        <v>2649</v>
      </c>
      <c r="BF3" s="638" t="s">
        <v>2650</v>
      </c>
      <c r="BG3" s="638" t="s">
        <v>2651</v>
      </c>
      <c r="BH3" s="638" t="s">
        <v>2652</v>
      </c>
      <c r="BI3" s="640" t="s">
        <v>2653</v>
      </c>
    </row>
    <row r="4" spans="1:61" ht="15">
      <c r="A4" s="641">
        <v>1</v>
      </c>
      <c r="B4" s="642" t="s">
        <v>2296</v>
      </c>
      <c r="C4" s="643">
        <v>2.5</v>
      </c>
      <c r="D4" s="643">
        <v>17.584272626562804</v>
      </c>
      <c r="E4" s="644" t="s">
        <v>2297</v>
      </c>
      <c r="F4" s="644">
        <v>240</v>
      </c>
      <c r="G4" s="644" t="s">
        <v>1357</v>
      </c>
      <c r="H4" s="644">
        <v>50</v>
      </c>
      <c r="I4" s="644">
        <v>1344</v>
      </c>
      <c r="J4" s="644">
        <v>10752</v>
      </c>
      <c r="K4" s="644">
        <v>0</v>
      </c>
      <c r="L4" s="644">
        <v>1184</v>
      </c>
      <c r="M4" s="644">
        <v>1344</v>
      </c>
      <c r="N4" s="644">
        <v>43.68</v>
      </c>
      <c r="O4" s="644">
        <v>43.68</v>
      </c>
      <c r="P4" s="644">
        <v>43.68</v>
      </c>
      <c r="Q4" s="644">
        <v>43.68</v>
      </c>
      <c r="R4" s="644">
        <v>40</v>
      </c>
      <c r="S4" s="644">
        <v>1</v>
      </c>
      <c r="T4" s="645">
        <v>1344</v>
      </c>
      <c r="U4" s="645">
        <v>148</v>
      </c>
      <c r="V4" s="644">
        <v>1</v>
      </c>
      <c r="W4" s="644">
        <v>2</v>
      </c>
      <c r="X4" s="644">
        <v>8</v>
      </c>
      <c r="Y4" s="645">
        <v>50</v>
      </c>
      <c r="Z4" s="644">
        <v>4.5</v>
      </c>
      <c r="AA4" s="644">
        <v>4.5</v>
      </c>
      <c r="AB4" s="644">
        <v>1</v>
      </c>
      <c r="AC4" s="645">
        <v>50</v>
      </c>
      <c r="AD4" s="644">
        <v>4</v>
      </c>
      <c r="AE4" s="644">
        <v>0</v>
      </c>
      <c r="AF4" s="644">
        <v>0</v>
      </c>
      <c r="AG4" s="644">
        <v>1</v>
      </c>
      <c r="AH4" s="644">
        <v>0.65</v>
      </c>
      <c r="AI4" s="642" t="s">
        <v>2298</v>
      </c>
      <c r="AJ4" s="642" t="s">
        <v>2299</v>
      </c>
      <c r="AK4" s="646">
        <v>2.3918495297805644</v>
      </c>
      <c r="AL4" s="646">
        <v>2.3918495297805644</v>
      </c>
      <c r="AM4" s="644">
        <v>1</v>
      </c>
      <c r="AN4" s="644">
        <v>8</v>
      </c>
      <c r="AO4" s="644">
        <v>1</v>
      </c>
      <c r="AP4" s="645">
        <v>8</v>
      </c>
      <c r="AQ4" s="641" t="b">
        <v>0</v>
      </c>
      <c r="AR4" s="644">
        <v>3</v>
      </c>
      <c r="AS4" s="641">
        <v>70.319999999999993</v>
      </c>
      <c r="AT4" s="647">
        <v>0.13</v>
      </c>
      <c r="AU4" s="642">
        <v>32</v>
      </c>
      <c r="AV4" s="642">
        <v>42</v>
      </c>
      <c r="AW4" s="644">
        <v>1</v>
      </c>
      <c r="AX4" s="642" t="b">
        <v>1</v>
      </c>
      <c r="AY4" s="641">
        <v>1344</v>
      </c>
      <c r="AZ4" s="641">
        <v>1500</v>
      </c>
      <c r="BA4" s="642">
        <v>50</v>
      </c>
      <c r="BB4" s="642">
        <v>50</v>
      </c>
      <c r="BC4" s="641">
        <v>1344</v>
      </c>
      <c r="BD4" s="641">
        <v>969.28</v>
      </c>
      <c r="BE4" s="641">
        <v>0</v>
      </c>
      <c r="BF4" s="641">
        <v>174.72</v>
      </c>
      <c r="BG4" s="641">
        <v>0</v>
      </c>
      <c r="BH4" s="642">
        <v>0.88095238095238093</v>
      </c>
      <c r="BI4" s="641">
        <v>290</v>
      </c>
    </row>
    <row r="5" spans="1:61" ht="15">
      <c r="A5" s="641">
        <v>2</v>
      </c>
      <c r="B5" s="642" t="s">
        <v>2300</v>
      </c>
      <c r="C5" s="643">
        <v>2.5</v>
      </c>
      <c r="D5" s="643">
        <v>17.584272626562804</v>
      </c>
      <c r="E5" s="644" t="s">
        <v>1357</v>
      </c>
      <c r="F5" s="644">
        <v>240</v>
      </c>
      <c r="G5" s="644" t="s">
        <v>1357</v>
      </c>
      <c r="H5" s="644">
        <v>50</v>
      </c>
      <c r="I5" s="644">
        <v>1344</v>
      </c>
      <c r="J5" s="644">
        <v>10752</v>
      </c>
      <c r="K5" s="644">
        <v>0</v>
      </c>
      <c r="L5" s="644">
        <v>1184</v>
      </c>
      <c r="M5" s="644">
        <v>1344</v>
      </c>
      <c r="N5" s="644">
        <v>43.68</v>
      </c>
      <c r="O5" s="644">
        <v>43.68</v>
      </c>
      <c r="P5" s="644">
        <v>43.68</v>
      </c>
      <c r="Q5" s="644">
        <v>43.68</v>
      </c>
      <c r="R5" s="644">
        <v>40</v>
      </c>
      <c r="S5" s="644">
        <v>2</v>
      </c>
      <c r="T5" s="645">
        <v>1344</v>
      </c>
      <c r="U5" s="645">
        <v>148</v>
      </c>
      <c r="V5" s="644">
        <v>0</v>
      </c>
      <c r="W5" s="644">
        <v>0</v>
      </c>
      <c r="X5" s="644">
        <v>8</v>
      </c>
      <c r="Y5" s="645">
        <v>50</v>
      </c>
      <c r="Z5" s="644">
        <v>4.5</v>
      </c>
      <c r="AA5" s="644">
        <v>4.5</v>
      </c>
      <c r="AB5" s="644">
        <v>1</v>
      </c>
      <c r="AC5" s="645">
        <v>50</v>
      </c>
      <c r="AD5" s="644">
        <v>4</v>
      </c>
      <c r="AE5" s="644">
        <v>0</v>
      </c>
      <c r="AF5" s="644">
        <v>0</v>
      </c>
      <c r="AG5" s="644">
        <v>1</v>
      </c>
      <c r="AH5" s="644">
        <v>0.65</v>
      </c>
      <c r="AI5" s="642" t="s">
        <v>2298</v>
      </c>
      <c r="AJ5" s="642" t="s">
        <v>2299</v>
      </c>
      <c r="AK5" s="646">
        <v>2.3918495297805644</v>
      </c>
      <c r="AL5" s="646">
        <v>2.3918495297805644</v>
      </c>
      <c r="AM5" s="644">
        <v>1</v>
      </c>
      <c r="AN5" s="644">
        <v>8</v>
      </c>
      <c r="AO5" s="644">
        <v>1</v>
      </c>
      <c r="AP5" s="645">
        <v>8</v>
      </c>
      <c r="AQ5" s="641" t="b">
        <v>0</v>
      </c>
      <c r="AR5" s="644">
        <v>3</v>
      </c>
      <c r="AS5" s="641">
        <v>70.319999999999993</v>
      </c>
      <c r="AT5" s="647">
        <v>0.13</v>
      </c>
      <c r="AU5" s="642">
        <v>32</v>
      </c>
      <c r="AV5" s="642">
        <v>42</v>
      </c>
      <c r="AW5" s="644">
        <v>1</v>
      </c>
      <c r="AX5" s="642" t="b">
        <v>1</v>
      </c>
      <c r="AY5" s="641">
        <v>1344</v>
      </c>
      <c r="AZ5" s="641">
        <v>1500</v>
      </c>
      <c r="BA5" s="642">
        <v>50</v>
      </c>
      <c r="BB5" s="642">
        <v>50</v>
      </c>
      <c r="BC5" s="641">
        <v>0</v>
      </c>
      <c r="BD5" s="641">
        <v>969.28</v>
      </c>
      <c r="BE5" s="641">
        <v>0</v>
      </c>
      <c r="BF5" s="641">
        <v>174.72</v>
      </c>
      <c r="BG5" s="641">
        <v>1344</v>
      </c>
      <c r="BH5" s="642">
        <v>0.88095238095238093</v>
      </c>
      <c r="BI5" s="641">
        <v>290</v>
      </c>
    </row>
    <row r="6" spans="1:61" ht="15">
      <c r="A6" s="641">
        <v>3</v>
      </c>
      <c r="B6" s="642" t="s">
        <v>2654</v>
      </c>
      <c r="C6" s="643">
        <v>4</v>
      </c>
      <c r="D6" s="643">
        <v>23.445696835417071</v>
      </c>
      <c r="E6" s="644" t="s">
        <v>2297</v>
      </c>
      <c r="F6" s="644">
        <v>300</v>
      </c>
      <c r="G6" s="644" t="s">
        <v>1357</v>
      </c>
      <c r="H6" s="644">
        <v>80</v>
      </c>
      <c r="I6" s="644">
        <v>2200</v>
      </c>
      <c r="J6" s="644">
        <v>18700</v>
      </c>
      <c r="K6" s="644">
        <v>200</v>
      </c>
      <c r="L6" s="644">
        <v>2210</v>
      </c>
      <c r="M6" s="644">
        <v>1784</v>
      </c>
      <c r="N6" s="644">
        <v>91.300000000000011</v>
      </c>
      <c r="O6" s="644">
        <v>91.300000000000011</v>
      </c>
      <c r="P6" s="644">
        <v>91.300000000000011</v>
      </c>
      <c r="Q6" s="644">
        <v>91.300000000000011</v>
      </c>
      <c r="R6" s="644">
        <v>40</v>
      </c>
      <c r="S6" s="644">
        <v>1</v>
      </c>
      <c r="T6" s="645">
        <v>1584</v>
      </c>
      <c r="U6" s="645">
        <v>160</v>
      </c>
      <c r="V6" s="644">
        <v>1</v>
      </c>
      <c r="W6" s="644">
        <v>2</v>
      </c>
      <c r="X6" s="644">
        <v>17</v>
      </c>
      <c r="Y6" s="645">
        <v>50</v>
      </c>
      <c r="Z6" s="644">
        <v>4.5</v>
      </c>
      <c r="AA6" s="644">
        <v>4.5</v>
      </c>
      <c r="AB6" s="644">
        <v>1</v>
      </c>
      <c r="AC6" s="645">
        <v>50</v>
      </c>
      <c r="AD6" s="644">
        <v>4</v>
      </c>
      <c r="AE6" s="644">
        <v>0</v>
      </c>
      <c r="AF6" s="644">
        <v>0</v>
      </c>
      <c r="AG6" s="644">
        <v>1</v>
      </c>
      <c r="AH6" s="644">
        <v>0.65</v>
      </c>
      <c r="AI6" s="642" t="s">
        <v>2298</v>
      </c>
      <c r="AJ6" s="642" t="s">
        <v>2299</v>
      </c>
      <c r="AK6" s="646">
        <v>2.7944162436548226</v>
      </c>
      <c r="AL6" s="646">
        <v>2.7944162436548226</v>
      </c>
      <c r="AM6" s="644">
        <v>1</v>
      </c>
      <c r="AN6" s="644">
        <v>8.5</v>
      </c>
      <c r="AO6" s="644">
        <v>2</v>
      </c>
      <c r="AP6" s="645">
        <v>17</v>
      </c>
      <c r="AQ6" s="641" t="b">
        <v>0</v>
      </c>
      <c r="AR6" s="644">
        <v>4</v>
      </c>
      <c r="AS6" s="641">
        <v>103.5</v>
      </c>
      <c r="AT6" s="647">
        <v>0.16600000000000001</v>
      </c>
      <c r="AU6" s="642">
        <v>36</v>
      </c>
      <c r="AV6" s="642">
        <v>44</v>
      </c>
      <c r="AW6" s="644">
        <v>2</v>
      </c>
      <c r="AX6" s="642" t="b">
        <v>1</v>
      </c>
      <c r="AY6" s="641">
        <v>2200</v>
      </c>
      <c r="AZ6" s="641">
        <v>5000</v>
      </c>
      <c r="BA6" s="642">
        <v>50</v>
      </c>
      <c r="BB6" s="642">
        <v>50</v>
      </c>
      <c r="BC6" s="641">
        <v>1784</v>
      </c>
      <c r="BD6" s="641">
        <v>1804.8</v>
      </c>
      <c r="BE6" s="641">
        <v>0</v>
      </c>
      <c r="BF6" s="641">
        <v>365.20000000000005</v>
      </c>
      <c r="BG6" s="641">
        <v>0</v>
      </c>
      <c r="BH6" s="642">
        <v>1.0045454545454546</v>
      </c>
      <c r="BI6" s="641">
        <v>380</v>
      </c>
    </row>
    <row r="7" spans="1:61" ht="15">
      <c r="A7" s="641">
        <v>4</v>
      </c>
      <c r="B7" s="642" t="s">
        <v>2301</v>
      </c>
      <c r="C7" s="643">
        <v>4</v>
      </c>
      <c r="D7" s="643">
        <v>23.445696835417071</v>
      </c>
      <c r="E7" s="644" t="s">
        <v>1357</v>
      </c>
      <c r="F7" s="644">
        <v>300</v>
      </c>
      <c r="G7" s="644" t="s">
        <v>1357</v>
      </c>
      <c r="H7" s="644">
        <v>80</v>
      </c>
      <c r="I7" s="644">
        <v>2200</v>
      </c>
      <c r="J7" s="644">
        <v>18700</v>
      </c>
      <c r="K7" s="644">
        <v>200</v>
      </c>
      <c r="L7" s="644">
        <v>2210</v>
      </c>
      <c r="M7" s="644">
        <v>1784</v>
      </c>
      <c r="N7" s="644">
        <v>91.300000000000011</v>
      </c>
      <c r="O7" s="644">
        <v>91.300000000000011</v>
      </c>
      <c r="P7" s="644">
        <v>91.300000000000011</v>
      </c>
      <c r="Q7" s="644">
        <v>91.300000000000011</v>
      </c>
      <c r="R7" s="644">
        <v>40</v>
      </c>
      <c r="S7" s="644">
        <v>2</v>
      </c>
      <c r="T7" s="645">
        <v>1584</v>
      </c>
      <c r="U7" s="645">
        <v>160</v>
      </c>
      <c r="V7" s="644">
        <v>0</v>
      </c>
      <c r="W7" s="644">
        <v>0</v>
      </c>
      <c r="X7" s="644">
        <v>17</v>
      </c>
      <c r="Y7" s="645">
        <v>50</v>
      </c>
      <c r="Z7" s="644">
        <v>4.5</v>
      </c>
      <c r="AA7" s="644">
        <v>4.5</v>
      </c>
      <c r="AB7" s="644">
        <v>1</v>
      </c>
      <c r="AC7" s="645">
        <v>50</v>
      </c>
      <c r="AD7" s="644">
        <v>4</v>
      </c>
      <c r="AE7" s="644">
        <v>0</v>
      </c>
      <c r="AF7" s="644">
        <v>0</v>
      </c>
      <c r="AG7" s="644">
        <v>1</v>
      </c>
      <c r="AH7" s="644">
        <v>0.65</v>
      </c>
      <c r="AI7" s="642" t="s">
        <v>2298</v>
      </c>
      <c r="AJ7" s="642" t="s">
        <v>2299</v>
      </c>
      <c r="AK7" s="646">
        <v>2.7944162436548226</v>
      </c>
      <c r="AL7" s="646">
        <v>2.7944162436548226</v>
      </c>
      <c r="AM7" s="644">
        <v>1</v>
      </c>
      <c r="AN7" s="644">
        <v>8.5</v>
      </c>
      <c r="AO7" s="644">
        <v>2</v>
      </c>
      <c r="AP7" s="645">
        <v>17</v>
      </c>
      <c r="AQ7" s="641" t="b">
        <v>0</v>
      </c>
      <c r="AR7" s="644">
        <v>4</v>
      </c>
      <c r="AS7" s="641">
        <v>103.5</v>
      </c>
      <c r="AT7" s="647">
        <v>0.16600000000000001</v>
      </c>
      <c r="AU7" s="642">
        <v>36</v>
      </c>
      <c r="AV7" s="642">
        <v>44</v>
      </c>
      <c r="AW7" s="644">
        <v>2</v>
      </c>
      <c r="AX7" s="642" t="b">
        <v>1</v>
      </c>
      <c r="AY7" s="641">
        <v>2200</v>
      </c>
      <c r="AZ7" s="641">
        <v>5000</v>
      </c>
      <c r="BA7" s="642">
        <v>50</v>
      </c>
      <c r="BB7" s="642">
        <v>50</v>
      </c>
      <c r="BC7" s="641">
        <v>200</v>
      </c>
      <c r="BD7" s="641">
        <v>1804.8</v>
      </c>
      <c r="BE7" s="641">
        <v>0</v>
      </c>
      <c r="BF7" s="641">
        <v>365.20000000000005</v>
      </c>
      <c r="BG7" s="641">
        <v>1584</v>
      </c>
      <c r="BH7" s="642">
        <v>1.0045454545454546</v>
      </c>
      <c r="BI7" s="641">
        <v>380</v>
      </c>
    </row>
    <row r="8" spans="1:61" ht="15">
      <c r="A8" s="641">
        <v>5</v>
      </c>
      <c r="B8" s="642" t="s">
        <v>2302</v>
      </c>
      <c r="C8" s="643">
        <v>3.5</v>
      </c>
      <c r="D8" s="643">
        <v>17.584272626562804</v>
      </c>
      <c r="E8" s="644" t="s">
        <v>2303</v>
      </c>
      <c r="F8" s="644">
        <v>0</v>
      </c>
      <c r="G8" s="644" t="s">
        <v>1357</v>
      </c>
      <c r="H8" s="644">
        <v>40</v>
      </c>
      <c r="I8" s="644">
        <v>2688</v>
      </c>
      <c r="J8" s="644">
        <v>22848</v>
      </c>
      <c r="K8" s="644">
        <v>0</v>
      </c>
      <c r="L8" s="644">
        <v>1480</v>
      </c>
      <c r="M8" s="644">
        <v>1344</v>
      </c>
      <c r="N8" s="644">
        <v>94.080000000000013</v>
      </c>
      <c r="O8" s="644">
        <v>94.080000000000013</v>
      </c>
      <c r="P8" s="644">
        <v>94.080000000000013</v>
      </c>
      <c r="Q8" s="644">
        <v>94.080000000000013</v>
      </c>
      <c r="R8" s="644">
        <v>40</v>
      </c>
      <c r="S8" s="644">
        <v>4</v>
      </c>
      <c r="T8" s="645">
        <v>1344</v>
      </c>
      <c r="U8" s="645">
        <v>148</v>
      </c>
      <c r="V8" s="644">
        <v>0.5</v>
      </c>
      <c r="W8" s="644">
        <v>6.5</v>
      </c>
      <c r="X8" s="644">
        <v>10</v>
      </c>
      <c r="Y8" s="645">
        <v>50</v>
      </c>
      <c r="Z8" s="644">
        <v>4.5</v>
      </c>
      <c r="AA8" s="644">
        <v>4.5</v>
      </c>
      <c r="AB8" s="644">
        <v>1</v>
      </c>
      <c r="AC8" s="645">
        <v>50</v>
      </c>
      <c r="AD8" s="644">
        <v>4</v>
      </c>
      <c r="AE8" s="644">
        <v>0</v>
      </c>
      <c r="AF8" s="644">
        <v>0</v>
      </c>
      <c r="AG8" s="644">
        <v>4</v>
      </c>
      <c r="AH8" s="644">
        <v>0.65</v>
      </c>
      <c r="AI8" s="642" t="s">
        <v>2298</v>
      </c>
      <c r="AJ8" s="642" t="s">
        <v>2299</v>
      </c>
      <c r="AK8" s="646">
        <v>2.946236559139785</v>
      </c>
      <c r="AL8" s="646">
        <v>2.946236559139785</v>
      </c>
      <c r="AM8" s="644">
        <v>1</v>
      </c>
      <c r="AN8" s="644">
        <v>10</v>
      </c>
      <c r="AO8" s="644">
        <v>2</v>
      </c>
      <c r="AP8" s="645">
        <v>20</v>
      </c>
      <c r="AQ8" s="641" t="b">
        <v>0</v>
      </c>
      <c r="AR8" s="644">
        <v>4</v>
      </c>
      <c r="AS8" s="641">
        <v>118.14</v>
      </c>
      <c r="AT8" s="647">
        <v>0.14000000000000001</v>
      </c>
      <c r="AU8" s="642">
        <v>32</v>
      </c>
      <c r="AV8" s="642">
        <v>42</v>
      </c>
      <c r="AW8" s="644">
        <v>3</v>
      </c>
      <c r="AX8" s="642" t="b">
        <v>1</v>
      </c>
      <c r="AY8" s="641">
        <v>2688</v>
      </c>
      <c r="AZ8" s="641">
        <v>5000</v>
      </c>
      <c r="BA8" s="642">
        <v>50</v>
      </c>
      <c r="BB8" s="642">
        <v>50</v>
      </c>
      <c r="BC8" s="641">
        <v>0</v>
      </c>
      <c r="BD8" s="641">
        <v>1063.6799999999998</v>
      </c>
      <c r="BE8" s="641">
        <v>1036</v>
      </c>
      <c r="BF8" s="641">
        <v>376.32000000000005</v>
      </c>
      <c r="BG8" s="641">
        <v>0</v>
      </c>
      <c r="BH8" s="642">
        <v>0.93601190476190477</v>
      </c>
      <c r="BI8" s="641">
        <v>40</v>
      </c>
    </row>
    <row r="9" spans="1:61" ht="15">
      <c r="A9" s="641">
        <v>6</v>
      </c>
      <c r="B9" s="642" t="s">
        <v>2304</v>
      </c>
      <c r="C9" s="643">
        <v>6</v>
      </c>
      <c r="D9" s="643">
        <v>35.168545253125608</v>
      </c>
      <c r="E9" s="644" t="s">
        <v>2303</v>
      </c>
      <c r="F9" s="644">
        <v>0</v>
      </c>
      <c r="G9" s="644" t="s">
        <v>1357</v>
      </c>
      <c r="H9" s="644">
        <v>60</v>
      </c>
      <c r="I9" s="644">
        <v>5000</v>
      </c>
      <c r="J9" s="644">
        <v>40100</v>
      </c>
      <c r="K9" s="644">
        <v>200</v>
      </c>
      <c r="L9" s="644">
        <v>2788</v>
      </c>
      <c r="M9" s="644">
        <v>1800</v>
      </c>
      <c r="N9" s="644">
        <v>187.5</v>
      </c>
      <c r="O9" s="644">
        <v>187.5</v>
      </c>
      <c r="P9" s="644">
        <v>187.5</v>
      </c>
      <c r="Q9" s="644">
        <v>187.5</v>
      </c>
      <c r="R9" s="644">
        <v>40</v>
      </c>
      <c r="S9" s="644">
        <v>4</v>
      </c>
      <c r="T9" s="645">
        <v>1600</v>
      </c>
      <c r="U9" s="645">
        <v>164</v>
      </c>
      <c r="V9" s="644">
        <v>0.5</v>
      </c>
      <c r="W9" s="644">
        <v>6.5</v>
      </c>
      <c r="X9" s="644">
        <v>17</v>
      </c>
      <c r="Y9" s="645">
        <v>50</v>
      </c>
      <c r="Z9" s="644">
        <v>4.5</v>
      </c>
      <c r="AA9" s="644">
        <v>4.5</v>
      </c>
      <c r="AB9" s="644">
        <v>1</v>
      </c>
      <c r="AC9" s="645">
        <v>50</v>
      </c>
      <c r="AD9" s="644">
        <v>4</v>
      </c>
      <c r="AE9" s="644">
        <v>0</v>
      </c>
      <c r="AF9" s="644">
        <v>0</v>
      </c>
      <c r="AG9" s="644">
        <v>4</v>
      </c>
      <c r="AH9" s="644">
        <v>0.65</v>
      </c>
      <c r="AI9" s="642" t="s">
        <v>2298</v>
      </c>
      <c r="AJ9" s="642" t="s">
        <v>2299</v>
      </c>
      <c r="AK9" s="646">
        <v>3.9355662368310997</v>
      </c>
      <c r="AL9" s="646">
        <v>3.9355662368310997</v>
      </c>
      <c r="AM9" s="644">
        <v>1</v>
      </c>
      <c r="AN9" s="644">
        <v>10</v>
      </c>
      <c r="AO9" s="644">
        <v>3</v>
      </c>
      <c r="AP9" s="645">
        <v>30</v>
      </c>
      <c r="AQ9" s="641" t="b">
        <v>0</v>
      </c>
      <c r="AR9" s="644">
        <v>4</v>
      </c>
      <c r="AS9" s="641">
        <v>187.5</v>
      </c>
      <c r="AT9" s="647">
        <v>0.15</v>
      </c>
      <c r="AU9" s="642">
        <v>32</v>
      </c>
      <c r="AV9" s="642">
        <v>50</v>
      </c>
      <c r="AW9" s="644"/>
      <c r="AX9" s="642" t="b">
        <v>0</v>
      </c>
      <c r="AY9" s="641">
        <v>5000</v>
      </c>
      <c r="AZ9" s="641">
        <v>9999</v>
      </c>
      <c r="BA9" s="642">
        <v>50</v>
      </c>
      <c r="BB9" s="642">
        <v>50</v>
      </c>
      <c r="BC9" s="641">
        <v>200</v>
      </c>
      <c r="BD9" s="641">
        <v>1998</v>
      </c>
      <c r="BE9" s="641">
        <v>1148</v>
      </c>
      <c r="BF9" s="641">
        <v>750</v>
      </c>
      <c r="BG9" s="641">
        <v>0</v>
      </c>
      <c r="BH9" s="642">
        <v>0.78720000000000001</v>
      </c>
      <c r="BI9" s="641">
        <v>60</v>
      </c>
    </row>
    <row r="10" spans="1:61" ht="15">
      <c r="A10" s="641">
        <v>7</v>
      </c>
      <c r="B10" s="642" t="s">
        <v>2305</v>
      </c>
      <c r="C10" s="643">
        <v>6</v>
      </c>
      <c r="D10" s="648">
        <v>23.445696835417071</v>
      </c>
      <c r="E10" s="644" t="s">
        <v>2303</v>
      </c>
      <c r="F10" s="642">
        <v>280</v>
      </c>
      <c r="G10" s="644" t="s">
        <v>2303</v>
      </c>
      <c r="H10" s="642">
        <v>70</v>
      </c>
      <c r="I10" s="642">
        <v>2460</v>
      </c>
      <c r="J10" s="642">
        <v>20910</v>
      </c>
      <c r="K10" s="642">
        <v>0</v>
      </c>
      <c r="L10" s="642">
        <v>2193</v>
      </c>
      <c r="M10" s="642">
        <v>820</v>
      </c>
      <c r="N10" s="642">
        <v>92.25</v>
      </c>
      <c r="O10" s="642">
        <v>92.25</v>
      </c>
      <c r="P10" s="642">
        <v>92.25</v>
      </c>
      <c r="Q10" s="642">
        <v>92.25</v>
      </c>
      <c r="R10" s="642">
        <v>60</v>
      </c>
      <c r="S10" s="642">
        <v>1</v>
      </c>
      <c r="T10" s="645">
        <v>821.5</v>
      </c>
      <c r="U10" s="644">
        <v>86</v>
      </c>
      <c r="V10" s="642">
        <v>1</v>
      </c>
      <c r="W10" s="642">
        <v>2</v>
      </c>
      <c r="X10" s="642">
        <v>25.5</v>
      </c>
      <c r="Y10" s="645">
        <v>150</v>
      </c>
      <c r="Z10" s="642">
        <v>4.5</v>
      </c>
      <c r="AA10" s="642">
        <v>4.5</v>
      </c>
      <c r="AB10" s="642">
        <v>1</v>
      </c>
      <c r="AC10" s="645">
        <v>150</v>
      </c>
      <c r="AD10" s="642">
        <v>4</v>
      </c>
      <c r="AE10" s="642">
        <v>0</v>
      </c>
      <c r="AF10" s="642">
        <v>0</v>
      </c>
      <c r="AG10" s="642">
        <v>1</v>
      </c>
      <c r="AH10" s="642">
        <v>0.65</v>
      </c>
      <c r="AI10" s="642" t="s">
        <v>2306</v>
      </c>
      <c r="AJ10" s="642" t="s">
        <v>2307</v>
      </c>
      <c r="AK10" s="642">
        <v>2.25</v>
      </c>
      <c r="AL10" s="641">
        <v>6.75</v>
      </c>
      <c r="AM10" s="644">
        <v>3</v>
      </c>
      <c r="AN10" s="644">
        <v>8.5</v>
      </c>
      <c r="AO10" s="644">
        <v>3</v>
      </c>
      <c r="AP10" s="645">
        <v>25.5</v>
      </c>
      <c r="AQ10" s="641" t="b">
        <v>1</v>
      </c>
      <c r="AR10" s="644">
        <v>2</v>
      </c>
      <c r="AS10" s="641">
        <v>141.29999999999998</v>
      </c>
      <c r="AT10" s="647">
        <v>0.15</v>
      </c>
      <c r="AU10" s="642">
        <v>26.5</v>
      </c>
      <c r="AV10" s="642">
        <v>31</v>
      </c>
      <c r="AW10" s="649"/>
      <c r="AX10" s="642" t="b">
        <v>0</v>
      </c>
      <c r="AY10" s="641">
        <v>820</v>
      </c>
      <c r="AZ10" s="641">
        <v>1500</v>
      </c>
      <c r="BA10" s="642">
        <v>50</v>
      </c>
      <c r="BB10" s="642">
        <v>50</v>
      </c>
      <c r="BC10" s="641">
        <v>821.5</v>
      </c>
      <c r="BD10" s="641">
        <v>1764</v>
      </c>
      <c r="BE10" s="641">
        <v>0</v>
      </c>
      <c r="BF10" s="641">
        <v>369</v>
      </c>
      <c r="BG10" s="641">
        <v>0</v>
      </c>
      <c r="BH10" s="642">
        <v>0.89146341463414636</v>
      </c>
      <c r="BI10" s="641">
        <v>350</v>
      </c>
    </row>
    <row r="11" spans="1:61" ht="15">
      <c r="A11" s="641"/>
      <c r="B11" s="650"/>
      <c r="C11" s="650"/>
      <c r="D11" s="650"/>
      <c r="E11" s="650"/>
      <c r="F11" s="650"/>
      <c r="G11" s="650"/>
      <c r="H11" s="650"/>
      <c r="I11" s="650"/>
      <c r="J11" s="650"/>
      <c r="K11" s="650"/>
      <c r="L11" s="650"/>
      <c r="M11" s="650"/>
      <c r="N11" s="650"/>
      <c r="O11" s="650"/>
      <c r="P11" s="650"/>
      <c r="Q11" s="650"/>
      <c r="R11" s="650"/>
      <c r="S11" s="650"/>
      <c r="T11" s="636"/>
      <c r="U11" s="636"/>
      <c r="V11" s="636"/>
      <c r="W11" s="636"/>
      <c r="X11" s="636"/>
      <c r="Y11" s="636"/>
      <c r="Z11" s="636"/>
      <c r="AA11" s="636"/>
      <c r="AB11" s="636"/>
      <c r="AC11" s="636"/>
      <c r="AD11" s="636"/>
      <c r="AE11" s="636"/>
      <c r="AF11" s="636"/>
      <c r="AG11" s="636"/>
      <c r="AH11" s="636"/>
      <c r="AI11" s="636"/>
      <c r="AJ11" s="636"/>
      <c r="AK11" s="636"/>
      <c r="AL11" s="636"/>
      <c r="AM11" s="636"/>
      <c r="AN11" s="636"/>
      <c r="AO11" s="636"/>
      <c r="AP11" s="636"/>
      <c r="AQ11" s="636"/>
      <c r="AR11" s="636"/>
      <c r="AS11" s="636"/>
      <c r="AT11" s="636"/>
      <c r="AU11" s="636"/>
      <c r="AV11" s="636"/>
      <c r="AW11" s="636"/>
      <c r="AX11" s="636"/>
      <c r="AY11" s="636"/>
      <c r="AZ11" s="636"/>
      <c r="BA11" s="636"/>
      <c r="BB11" s="636"/>
      <c r="BC11" s="636"/>
      <c r="BD11" s="636"/>
      <c r="BE11" s="636"/>
      <c r="BF11" s="636"/>
      <c r="BG11" s="636"/>
      <c r="BH11" s="636"/>
      <c r="BI11" s="636"/>
    </row>
    <row r="12" spans="1:61" ht="15">
      <c r="A12" s="651" t="s">
        <v>2308</v>
      </c>
      <c r="B12" s="652"/>
      <c r="C12" s="652"/>
      <c r="D12" s="652"/>
      <c r="E12" s="651"/>
      <c r="F12" s="652"/>
      <c r="G12" s="652"/>
      <c r="H12" s="652"/>
      <c r="I12" s="651" t="s">
        <v>2309</v>
      </c>
      <c r="J12" s="652"/>
      <c r="K12" s="652"/>
      <c r="L12" s="652"/>
      <c r="M12" s="651" t="s">
        <v>2309</v>
      </c>
      <c r="N12" s="652"/>
      <c r="O12" s="652"/>
      <c r="P12" s="652"/>
      <c r="Q12" s="651" t="s">
        <v>2309</v>
      </c>
      <c r="R12" s="652"/>
      <c r="S12" s="652"/>
      <c r="T12" s="652"/>
      <c r="U12" s="651" t="s">
        <v>2309</v>
      </c>
      <c r="V12" s="652"/>
      <c r="W12" s="652"/>
      <c r="X12" s="652"/>
      <c r="Y12" s="651" t="s">
        <v>2309</v>
      </c>
      <c r="Z12" s="652"/>
      <c r="AA12" s="652"/>
      <c r="AB12" s="652"/>
      <c r="AC12" s="651" t="s">
        <v>2309</v>
      </c>
      <c r="AD12" s="652"/>
      <c r="AE12" s="652"/>
      <c r="AF12" s="652"/>
      <c r="AG12" s="652"/>
      <c r="AH12" s="652"/>
      <c r="AI12" s="652"/>
      <c r="AJ12" s="652"/>
      <c r="AK12" s="652"/>
      <c r="AL12" s="652"/>
      <c r="AM12" s="652"/>
      <c r="AN12" s="652"/>
      <c r="AO12" s="652"/>
      <c r="AP12" s="652"/>
      <c r="AQ12" s="652"/>
      <c r="AR12" s="652"/>
      <c r="AS12" s="652"/>
      <c r="AT12" s="652"/>
      <c r="AU12" s="652"/>
      <c r="AV12" s="652"/>
      <c r="AW12" s="652"/>
      <c r="AX12" s="652"/>
      <c r="AY12" s="652"/>
      <c r="AZ12" s="652"/>
      <c r="BA12" s="652"/>
      <c r="BB12" s="652"/>
      <c r="BC12" s="652"/>
      <c r="BD12" s="652"/>
      <c r="BE12" s="652"/>
      <c r="BF12" s="652"/>
      <c r="BG12" s="652"/>
      <c r="BH12" s="652"/>
      <c r="BI12" s="652"/>
    </row>
    <row r="13" spans="1:61" ht="15">
      <c r="A13" s="641">
        <v>10</v>
      </c>
      <c r="B13" s="642" t="s">
        <v>2310</v>
      </c>
      <c r="C13" s="643">
        <v>6</v>
      </c>
      <c r="D13" s="643">
        <v>35.168545253125608</v>
      </c>
      <c r="E13" s="644" t="s">
        <v>2297</v>
      </c>
      <c r="F13" s="644">
        <v>100</v>
      </c>
      <c r="G13" s="644" t="s">
        <v>1357</v>
      </c>
      <c r="H13" s="644">
        <v>50</v>
      </c>
      <c r="I13" s="644">
        <v>1500</v>
      </c>
      <c r="J13" s="644">
        <v>14250</v>
      </c>
      <c r="K13" s="644">
        <v>0</v>
      </c>
      <c r="L13" s="644">
        <v>1259</v>
      </c>
      <c r="M13" s="644">
        <v>500</v>
      </c>
      <c r="N13" s="644">
        <v>48.75</v>
      </c>
      <c r="O13" s="644">
        <v>48.75</v>
      </c>
      <c r="P13" s="644">
        <v>48.75</v>
      </c>
      <c r="Q13" s="644">
        <v>48.75</v>
      </c>
      <c r="R13" s="644">
        <v>40</v>
      </c>
      <c r="S13" s="644">
        <v>1</v>
      </c>
      <c r="T13" s="645">
        <v>500</v>
      </c>
      <c r="U13" s="645">
        <v>90</v>
      </c>
      <c r="V13" s="644">
        <v>1</v>
      </c>
      <c r="W13" s="644">
        <v>2</v>
      </c>
      <c r="X13" s="644">
        <v>28.5</v>
      </c>
      <c r="Y13" s="645">
        <v>50</v>
      </c>
      <c r="Z13" s="644">
        <v>4.5</v>
      </c>
      <c r="AA13" s="644">
        <v>4.5</v>
      </c>
      <c r="AB13" s="644">
        <v>1</v>
      </c>
      <c r="AC13" s="645">
        <v>50</v>
      </c>
      <c r="AD13" s="644">
        <v>4</v>
      </c>
      <c r="AE13" s="644">
        <v>0</v>
      </c>
      <c r="AF13" s="644">
        <v>0</v>
      </c>
      <c r="AG13" s="644">
        <v>1</v>
      </c>
      <c r="AH13" s="644">
        <v>0.65</v>
      </c>
      <c r="AI13" s="642" t="s">
        <v>2311</v>
      </c>
      <c r="AJ13" s="642" t="s">
        <v>2299</v>
      </c>
      <c r="AK13" s="642">
        <v>1.69</v>
      </c>
      <c r="AL13" s="641">
        <v>1.69</v>
      </c>
      <c r="AM13" s="644">
        <v>1</v>
      </c>
      <c r="AN13" s="644">
        <v>9.5</v>
      </c>
      <c r="AO13" s="644">
        <v>3</v>
      </c>
      <c r="AP13" s="645">
        <v>28.5</v>
      </c>
      <c r="AQ13" s="641" t="b">
        <v>0</v>
      </c>
      <c r="AR13" s="644">
        <v>3</v>
      </c>
      <c r="AS13" s="641">
        <v>75</v>
      </c>
      <c r="AT13" s="647">
        <v>0.13</v>
      </c>
      <c r="AU13" s="642">
        <v>20</v>
      </c>
      <c r="AV13" s="642">
        <v>25</v>
      </c>
      <c r="AW13" s="644">
        <v>4</v>
      </c>
      <c r="AX13" s="642" t="b">
        <v>1</v>
      </c>
      <c r="AY13" s="641">
        <v>1500</v>
      </c>
      <c r="AZ13" s="641">
        <v>5000</v>
      </c>
      <c r="BA13" s="642">
        <v>50</v>
      </c>
      <c r="BB13" s="642">
        <v>50</v>
      </c>
      <c r="BC13" s="641">
        <v>500</v>
      </c>
      <c r="BD13" s="641">
        <v>1024</v>
      </c>
      <c r="BE13" s="641">
        <v>0</v>
      </c>
      <c r="BF13" s="641">
        <v>195</v>
      </c>
      <c r="BG13" s="641">
        <v>0</v>
      </c>
      <c r="BH13" s="642">
        <v>0.83933333333333338</v>
      </c>
      <c r="BI13" s="641">
        <v>150</v>
      </c>
    </row>
    <row r="14" spans="1:61" ht="15">
      <c r="A14" s="641">
        <f>A13+1</f>
        <v>11</v>
      </c>
      <c r="B14" s="642" t="s">
        <v>2312</v>
      </c>
      <c r="C14" s="643">
        <v>6</v>
      </c>
      <c r="D14" s="643">
        <v>35.168545253125608</v>
      </c>
      <c r="E14" s="644" t="s">
        <v>1357</v>
      </c>
      <c r="F14" s="644">
        <v>20</v>
      </c>
      <c r="G14" s="644" t="s">
        <v>1357</v>
      </c>
      <c r="H14" s="644">
        <v>50</v>
      </c>
      <c r="I14" s="644">
        <v>1500</v>
      </c>
      <c r="J14" s="644">
        <v>14250</v>
      </c>
      <c r="K14" s="644">
        <v>0</v>
      </c>
      <c r="L14" s="644">
        <v>1259</v>
      </c>
      <c r="M14" s="644">
        <v>500</v>
      </c>
      <c r="N14" s="644">
        <v>48.75</v>
      </c>
      <c r="O14" s="644">
        <v>48.75</v>
      </c>
      <c r="P14" s="644">
        <v>48.75</v>
      </c>
      <c r="Q14" s="644">
        <v>48.75</v>
      </c>
      <c r="R14" s="644">
        <v>40</v>
      </c>
      <c r="S14" s="644">
        <v>2</v>
      </c>
      <c r="T14" s="645">
        <v>500</v>
      </c>
      <c r="U14" s="645">
        <v>90</v>
      </c>
      <c r="V14" s="644">
        <v>0</v>
      </c>
      <c r="W14" s="644">
        <v>0</v>
      </c>
      <c r="X14" s="644">
        <v>28.5</v>
      </c>
      <c r="Y14" s="645">
        <v>50</v>
      </c>
      <c r="Z14" s="644">
        <v>4.5</v>
      </c>
      <c r="AA14" s="644">
        <v>4.5</v>
      </c>
      <c r="AB14" s="644">
        <v>1</v>
      </c>
      <c r="AC14" s="645">
        <v>50</v>
      </c>
      <c r="AD14" s="644">
        <v>4</v>
      </c>
      <c r="AE14" s="644">
        <v>0</v>
      </c>
      <c r="AF14" s="644">
        <v>0</v>
      </c>
      <c r="AG14" s="644">
        <v>1</v>
      </c>
      <c r="AH14" s="644">
        <v>0.65</v>
      </c>
      <c r="AI14" s="642" t="s">
        <v>2311</v>
      </c>
      <c r="AJ14" s="642" t="s">
        <v>2299</v>
      </c>
      <c r="AK14" s="642">
        <v>1.69</v>
      </c>
      <c r="AL14" s="641">
        <v>1.69</v>
      </c>
      <c r="AM14" s="644">
        <v>1</v>
      </c>
      <c r="AN14" s="644">
        <v>9.5</v>
      </c>
      <c r="AO14" s="644">
        <v>3</v>
      </c>
      <c r="AP14" s="645">
        <v>28.5</v>
      </c>
      <c r="AQ14" s="641" t="b">
        <v>0</v>
      </c>
      <c r="AR14" s="644">
        <v>3</v>
      </c>
      <c r="AS14" s="641">
        <v>75</v>
      </c>
      <c r="AT14" s="647">
        <v>0.13</v>
      </c>
      <c r="AU14" s="642">
        <v>20</v>
      </c>
      <c r="AV14" s="642">
        <v>25</v>
      </c>
      <c r="AW14" s="644">
        <v>5</v>
      </c>
      <c r="AX14" s="642" t="b">
        <v>1</v>
      </c>
      <c r="AY14" s="641">
        <v>1500</v>
      </c>
      <c r="AZ14" s="641">
        <v>5000</v>
      </c>
      <c r="BA14" s="642">
        <v>50</v>
      </c>
      <c r="BB14" s="642">
        <v>50</v>
      </c>
      <c r="BC14" s="641">
        <v>0</v>
      </c>
      <c r="BD14" s="641">
        <v>1024</v>
      </c>
      <c r="BE14" s="641">
        <v>0</v>
      </c>
      <c r="BF14" s="641">
        <v>195</v>
      </c>
      <c r="BG14" s="641">
        <v>500</v>
      </c>
      <c r="BH14" s="642">
        <v>0.83933333333333338</v>
      </c>
      <c r="BI14" s="641">
        <v>70</v>
      </c>
    </row>
    <row r="15" spans="1:61" ht="15">
      <c r="A15" s="641">
        <f t="shared" ref="A15:A20" si="0">A14+1</f>
        <v>12</v>
      </c>
      <c r="B15" s="642" t="s">
        <v>2313</v>
      </c>
      <c r="C15" s="643">
        <v>6</v>
      </c>
      <c r="D15" s="643">
        <v>35.168545253125608</v>
      </c>
      <c r="E15" s="644" t="s">
        <v>2303</v>
      </c>
      <c r="F15" s="644">
        <v>0</v>
      </c>
      <c r="G15" s="644" t="s">
        <v>2303</v>
      </c>
      <c r="H15" s="644">
        <v>0</v>
      </c>
      <c r="I15" s="644">
        <v>26400</v>
      </c>
      <c r="J15" s="644">
        <v>237600</v>
      </c>
      <c r="K15" s="644">
        <v>0</v>
      </c>
      <c r="L15" s="644">
        <v>10152</v>
      </c>
      <c r="M15" s="644">
        <v>8800</v>
      </c>
      <c r="N15" s="644">
        <v>990</v>
      </c>
      <c r="O15" s="644">
        <v>990</v>
      </c>
      <c r="P15" s="644">
        <v>990</v>
      </c>
      <c r="Q15" s="644">
        <v>990</v>
      </c>
      <c r="R15" s="644">
        <v>84</v>
      </c>
      <c r="S15" s="644">
        <v>2</v>
      </c>
      <c r="T15" s="645">
        <v>8800</v>
      </c>
      <c r="U15" s="645">
        <v>376</v>
      </c>
      <c r="V15" s="644">
        <v>0</v>
      </c>
      <c r="W15" s="644">
        <v>0</v>
      </c>
      <c r="X15" s="644">
        <v>27</v>
      </c>
      <c r="Y15" s="645">
        <v>1200</v>
      </c>
      <c r="Z15" s="644">
        <v>4.5</v>
      </c>
      <c r="AA15" s="644">
        <v>4.5</v>
      </c>
      <c r="AB15" s="644">
        <v>1</v>
      </c>
      <c r="AC15" s="645">
        <v>1200</v>
      </c>
      <c r="AD15" s="644">
        <v>4</v>
      </c>
      <c r="AE15" s="644">
        <v>0</v>
      </c>
      <c r="AF15" s="644">
        <v>0</v>
      </c>
      <c r="AG15" s="644">
        <v>1</v>
      </c>
      <c r="AH15" s="644">
        <v>0.65</v>
      </c>
      <c r="AI15" s="642" t="s">
        <v>2314</v>
      </c>
      <c r="AJ15" s="642" t="s">
        <v>2307</v>
      </c>
      <c r="AK15" s="642">
        <v>1.69</v>
      </c>
      <c r="AL15" s="641">
        <v>40.56</v>
      </c>
      <c r="AM15" s="644">
        <v>24</v>
      </c>
      <c r="AN15" s="644">
        <v>9</v>
      </c>
      <c r="AO15" s="644">
        <v>3</v>
      </c>
      <c r="AP15" s="645">
        <v>27</v>
      </c>
      <c r="AQ15" s="641" t="b">
        <v>1</v>
      </c>
      <c r="AR15" s="644">
        <v>2</v>
      </c>
      <c r="AS15" s="641">
        <v>1332</v>
      </c>
      <c r="AT15" s="647">
        <v>0.15</v>
      </c>
      <c r="AU15" s="642">
        <v>88</v>
      </c>
      <c r="AV15" s="642">
        <v>100</v>
      </c>
      <c r="AW15" s="644">
        <v>6</v>
      </c>
      <c r="AX15" s="642" t="b">
        <v>1</v>
      </c>
      <c r="AY15" s="641">
        <v>1100</v>
      </c>
      <c r="AZ15" s="641">
        <v>1500</v>
      </c>
      <c r="BA15" s="642">
        <v>50</v>
      </c>
      <c r="BB15" s="642">
        <v>50</v>
      </c>
      <c r="BC15" s="641">
        <v>0</v>
      </c>
      <c r="BD15" s="641">
        <v>6108</v>
      </c>
      <c r="BE15" s="641">
        <v>0</v>
      </c>
      <c r="BF15" s="641">
        <v>3960</v>
      </c>
      <c r="BG15" s="641">
        <v>8800</v>
      </c>
      <c r="BH15" s="642">
        <v>0.38454545454545452</v>
      </c>
      <c r="BI15" s="641">
        <v>0</v>
      </c>
    </row>
    <row r="16" spans="1:61" ht="15">
      <c r="A16" s="641">
        <f t="shared" si="0"/>
        <v>13</v>
      </c>
      <c r="B16" s="642" t="s">
        <v>2315</v>
      </c>
      <c r="C16" s="643">
        <v>4</v>
      </c>
      <c r="D16" s="643">
        <v>17.584272626562804</v>
      </c>
      <c r="E16" s="644" t="s">
        <v>2303</v>
      </c>
      <c r="F16" s="644">
        <v>280</v>
      </c>
      <c r="G16" s="644" t="s">
        <v>2303</v>
      </c>
      <c r="H16" s="644">
        <v>70</v>
      </c>
      <c r="I16" s="644">
        <v>1904</v>
      </c>
      <c r="J16" s="644">
        <v>16184</v>
      </c>
      <c r="K16" s="644">
        <v>0</v>
      </c>
      <c r="L16" s="644">
        <v>1632</v>
      </c>
      <c r="M16" s="644">
        <v>952</v>
      </c>
      <c r="N16" s="644">
        <v>71.399999999999991</v>
      </c>
      <c r="O16" s="644">
        <v>71.399999999999991</v>
      </c>
      <c r="P16" s="644">
        <v>71.399999999999991</v>
      </c>
      <c r="Q16" s="644">
        <v>71.399999999999991</v>
      </c>
      <c r="R16" s="644">
        <v>40</v>
      </c>
      <c r="S16" s="644">
        <v>1</v>
      </c>
      <c r="T16" s="645">
        <v>952</v>
      </c>
      <c r="U16" s="644">
        <v>96</v>
      </c>
      <c r="V16" s="644">
        <v>1</v>
      </c>
      <c r="W16" s="644">
        <v>2</v>
      </c>
      <c r="X16" s="644">
        <v>17</v>
      </c>
      <c r="Y16" s="645">
        <v>100</v>
      </c>
      <c r="Z16" s="644">
        <v>4.5</v>
      </c>
      <c r="AA16" s="644">
        <v>4.5</v>
      </c>
      <c r="AB16" s="644">
        <v>1</v>
      </c>
      <c r="AC16" s="645">
        <v>100</v>
      </c>
      <c r="AD16" s="644">
        <v>4</v>
      </c>
      <c r="AE16" s="644">
        <v>0</v>
      </c>
      <c r="AF16" s="644">
        <v>0</v>
      </c>
      <c r="AG16" s="644">
        <v>1</v>
      </c>
      <c r="AH16" s="644">
        <v>0.65</v>
      </c>
      <c r="AI16" s="642" t="s">
        <v>2306</v>
      </c>
      <c r="AJ16" s="642" t="s">
        <v>2307</v>
      </c>
      <c r="AK16" s="642">
        <v>1.69</v>
      </c>
      <c r="AL16" s="641">
        <v>3.38</v>
      </c>
      <c r="AM16" s="644">
        <v>2</v>
      </c>
      <c r="AN16" s="644">
        <v>8.5</v>
      </c>
      <c r="AO16" s="644">
        <v>2</v>
      </c>
      <c r="AP16" s="645">
        <v>17</v>
      </c>
      <c r="AQ16" s="641" t="b">
        <v>1</v>
      </c>
      <c r="AR16" s="642">
        <v>2</v>
      </c>
      <c r="AS16" s="641">
        <v>102.12</v>
      </c>
      <c r="AT16" s="647">
        <v>0.15</v>
      </c>
      <c r="AU16" s="642">
        <v>28</v>
      </c>
      <c r="AV16" s="642">
        <v>34</v>
      </c>
      <c r="AW16" s="642">
        <v>7</v>
      </c>
      <c r="AX16" s="642" t="b">
        <v>0</v>
      </c>
      <c r="AY16" s="641">
        <v>952</v>
      </c>
      <c r="AZ16" s="641">
        <v>1500</v>
      </c>
      <c r="BA16" s="642">
        <v>50</v>
      </c>
      <c r="BB16" s="642">
        <v>50</v>
      </c>
      <c r="BC16" s="641">
        <v>952</v>
      </c>
      <c r="BD16" s="641">
        <v>1306.4000000000001</v>
      </c>
      <c r="BE16" s="641">
        <v>0</v>
      </c>
      <c r="BF16" s="641">
        <v>285.59999999999997</v>
      </c>
      <c r="BG16" s="641">
        <v>0</v>
      </c>
      <c r="BH16" s="642">
        <v>0.8571428571428571</v>
      </c>
      <c r="BI16" s="641">
        <v>350</v>
      </c>
    </row>
    <row r="17" spans="1:61" ht="15">
      <c r="A17" s="641">
        <f t="shared" si="0"/>
        <v>14</v>
      </c>
      <c r="B17" s="642" t="s">
        <v>2316</v>
      </c>
      <c r="C17" s="643">
        <v>6</v>
      </c>
      <c r="D17" s="643">
        <v>23.445696835417071</v>
      </c>
      <c r="E17" s="644" t="s">
        <v>2303</v>
      </c>
      <c r="F17" s="644">
        <v>280</v>
      </c>
      <c r="G17" s="644" t="s">
        <v>2303</v>
      </c>
      <c r="H17" s="644">
        <v>70</v>
      </c>
      <c r="I17" s="644">
        <v>2856</v>
      </c>
      <c r="J17" s="644">
        <v>24276</v>
      </c>
      <c r="K17" s="644">
        <v>0</v>
      </c>
      <c r="L17" s="644">
        <v>2448</v>
      </c>
      <c r="M17" s="644">
        <v>952</v>
      </c>
      <c r="N17" s="644">
        <v>107.1</v>
      </c>
      <c r="O17" s="644">
        <v>107.1</v>
      </c>
      <c r="P17" s="644">
        <v>107.1</v>
      </c>
      <c r="Q17" s="644">
        <v>107.1</v>
      </c>
      <c r="R17" s="644">
        <v>60</v>
      </c>
      <c r="S17" s="644">
        <v>1</v>
      </c>
      <c r="T17" s="645">
        <v>952</v>
      </c>
      <c r="U17" s="644">
        <v>96</v>
      </c>
      <c r="V17" s="644">
        <v>1</v>
      </c>
      <c r="W17" s="644">
        <v>2</v>
      </c>
      <c r="X17" s="644">
        <v>25.5</v>
      </c>
      <c r="Y17" s="645">
        <v>150</v>
      </c>
      <c r="Z17" s="644">
        <v>4.5</v>
      </c>
      <c r="AA17" s="644">
        <v>4.5</v>
      </c>
      <c r="AB17" s="644">
        <v>1</v>
      </c>
      <c r="AC17" s="645">
        <v>150</v>
      </c>
      <c r="AD17" s="644">
        <v>4</v>
      </c>
      <c r="AE17" s="644">
        <v>0</v>
      </c>
      <c r="AF17" s="644">
        <v>0</v>
      </c>
      <c r="AG17" s="644">
        <v>1</v>
      </c>
      <c r="AH17" s="644">
        <v>0.65</v>
      </c>
      <c r="AI17" s="642" t="s">
        <v>2306</v>
      </c>
      <c r="AJ17" s="642" t="s">
        <v>2307</v>
      </c>
      <c r="AK17" s="642">
        <v>1.69</v>
      </c>
      <c r="AL17" s="641">
        <v>5.07</v>
      </c>
      <c r="AM17" s="644">
        <v>3</v>
      </c>
      <c r="AN17" s="644">
        <v>8.5</v>
      </c>
      <c r="AO17" s="644">
        <v>3</v>
      </c>
      <c r="AP17" s="645">
        <v>25.5</v>
      </c>
      <c r="AQ17" s="641" t="b">
        <v>1</v>
      </c>
      <c r="AR17" s="642">
        <v>2</v>
      </c>
      <c r="AS17" s="641">
        <v>153.18</v>
      </c>
      <c r="AT17" s="647">
        <v>0.15</v>
      </c>
      <c r="AU17" s="642">
        <v>28</v>
      </c>
      <c r="AV17" s="642">
        <v>34</v>
      </c>
      <c r="AW17" s="644">
        <v>7</v>
      </c>
      <c r="AX17" s="642" t="b">
        <v>0</v>
      </c>
      <c r="AY17" s="641">
        <v>952</v>
      </c>
      <c r="AZ17" s="641">
        <v>1500</v>
      </c>
      <c r="BA17" s="642">
        <v>50</v>
      </c>
      <c r="BB17" s="642">
        <v>50</v>
      </c>
      <c r="BC17" s="641">
        <v>952</v>
      </c>
      <c r="BD17" s="641">
        <v>1959.6</v>
      </c>
      <c r="BE17" s="641">
        <v>0</v>
      </c>
      <c r="BF17" s="641">
        <v>428.4</v>
      </c>
      <c r="BG17" s="641">
        <v>0</v>
      </c>
      <c r="BH17" s="642">
        <v>0.8571428571428571</v>
      </c>
      <c r="BI17" s="641">
        <v>350</v>
      </c>
    </row>
    <row r="18" spans="1:61" ht="15">
      <c r="A18" s="641">
        <f t="shared" si="0"/>
        <v>15</v>
      </c>
      <c r="B18" s="642" t="s">
        <v>2317</v>
      </c>
      <c r="C18" s="643">
        <v>4</v>
      </c>
      <c r="D18" s="643">
        <v>17.584272626562804</v>
      </c>
      <c r="E18" s="644" t="s">
        <v>2303</v>
      </c>
      <c r="F18" s="644">
        <v>280</v>
      </c>
      <c r="G18" s="644" t="s">
        <v>2303</v>
      </c>
      <c r="H18" s="644">
        <v>70</v>
      </c>
      <c r="I18" s="644">
        <v>1904</v>
      </c>
      <c r="J18" s="644">
        <v>16184</v>
      </c>
      <c r="K18" s="644">
        <v>0</v>
      </c>
      <c r="L18" s="644">
        <v>1632</v>
      </c>
      <c r="M18" s="644">
        <v>952</v>
      </c>
      <c r="N18" s="644">
        <v>71.399999999999991</v>
      </c>
      <c r="O18" s="644">
        <v>71.399999999999991</v>
      </c>
      <c r="P18" s="644">
        <v>71.399999999999991</v>
      </c>
      <c r="Q18" s="644">
        <v>71.399999999999991</v>
      </c>
      <c r="R18" s="644">
        <v>40</v>
      </c>
      <c r="S18" s="644">
        <v>2</v>
      </c>
      <c r="T18" s="645">
        <v>952</v>
      </c>
      <c r="U18" s="644">
        <v>96</v>
      </c>
      <c r="V18" s="644">
        <v>0</v>
      </c>
      <c r="W18" s="644">
        <v>0</v>
      </c>
      <c r="X18" s="644">
        <v>17</v>
      </c>
      <c r="Y18" s="645">
        <v>100</v>
      </c>
      <c r="Z18" s="644">
        <v>4.5</v>
      </c>
      <c r="AA18" s="644">
        <v>4.5</v>
      </c>
      <c r="AB18" s="644">
        <v>1</v>
      </c>
      <c r="AC18" s="645">
        <v>100</v>
      </c>
      <c r="AD18" s="644">
        <v>4</v>
      </c>
      <c r="AE18" s="644">
        <v>0</v>
      </c>
      <c r="AF18" s="644">
        <v>0</v>
      </c>
      <c r="AG18" s="644">
        <v>1</v>
      </c>
      <c r="AH18" s="644">
        <v>0.65</v>
      </c>
      <c r="AI18" s="642" t="s">
        <v>2306</v>
      </c>
      <c r="AJ18" s="642" t="s">
        <v>2307</v>
      </c>
      <c r="AK18" s="642">
        <v>1.69</v>
      </c>
      <c r="AL18" s="641">
        <v>3.38</v>
      </c>
      <c r="AM18" s="644">
        <v>2</v>
      </c>
      <c r="AN18" s="644">
        <v>8.5</v>
      </c>
      <c r="AO18" s="644">
        <v>2</v>
      </c>
      <c r="AP18" s="645">
        <v>17</v>
      </c>
      <c r="AQ18" s="641" t="b">
        <v>1</v>
      </c>
      <c r="AR18" s="642">
        <v>2</v>
      </c>
      <c r="AS18" s="641">
        <v>102.12</v>
      </c>
      <c r="AT18" s="647">
        <v>0.15</v>
      </c>
      <c r="AU18" s="642">
        <v>28</v>
      </c>
      <c r="AV18" s="642">
        <v>34</v>
      </c>
      <c r="AW18" s="644">
        <v>7</v>
      </c>
      <c r="AX18" s="642" t="b">
        <v>0</v>
      </c>
      <c r="AY18" s="641">
        <v>952</v>
      </c>
      <c r="AZ18" s="641">
        <v>1500</v>
      </c>
      <c r="BA18" s="642">
        <v>50</v>
      </c>
      <c r="BB18" s="642">
        <v>50</v>
      </c>
      <c r="BC18" s="641">
        <v>0</v>
      </c>
      <c r="BD18" s="641">
        <v>1306.4000000000001</v>
      </c>
      <c r="BE18" s="641">
        <v>0</v>
      </c>
      <c r="BF18" s="641">
        <v>285.59999999999997</v>
      </c>
      <c r="BG18" s="641">
        <v>952</v>
      </c>
      <c r="BH18" s="642">
        <v>0.8571428571428571</v>
      </c>
      <c r="BI18" s="641">
        <v>350</v>
      </c>
    </row>
    <row r="19" spans="1:61" ht="15">
      <c r="A19" s="641">
        <f t="shared" si="0"/>
        <v>16</v>
      </c>
      <c r="B19" s="642" t="s">
        <v>2318</v>
      </c>
      <c r="C19" s="643">
        <v>6</v>
      </c>
      <c r="D19" s="643">
        <v>23.445696835417071</v>
      </c>
      <c r="E19" s="644" t="s">
        <v>2303</v>
      </c>
      <c r="F19" s="644">
        <v>280</v>
      </c>
      <c r="G19" s="644" t="s">
        <v>2303</v>
      </c>
      <c r="H19" s="644">
        <v>70</v>
      </c>
      <c r="I19" s="644">
        <v>2856</v>
      </c>
      <c r="J19" s="644">
        <v>24276</v>
      </c>
      <c r="K19" s="644">
        <v>0</v>
      </c>
      <c r="L19" s="644">
        <v>2448</v>
      </c>
      <c r="M19" s="644">
        <v>952</v>
      </c>
      <c r="N19" s="644">
        <v>107.1</v>
      </c>
      <c r="O19" s="644">
        <v>107.1</v>
      </c>
      <c r="P19" s="644">
        <v>107.1</v>
      </c>
      <c r="Q19" s="644">
        <v>107.1</v>
      </c>
      <c r="R19" s="644">
        <v>60</v>
      </c>
      <c r="S19" s="644">
        <v>2</v>
      </c>
      <c r="T19" s="645">
        <v>952</v>
      </c>
      <c r="U19" s="644">
        <v>96</v>
      </c>
      <c r="V19" s="644">
        <v>0</v>
      </c>
      <c r="W19" s="644">
        <v>0</v>
      </c>
      <c r="X19" s="644">
        <v>25.5</v>
      </c>
      <c r="Y19" s="645">
        <v>150</v>
      </c>
      <c r="Z19" s="644">
        <v>4.5</v>
      </c>
      <c r="AA19" s="644">
        <v>4.5</v>
      </c>
      <c r="AB19" s="644">
        <v>1</v>
      </c>
      <c r="AC19" s="645">
        <v>150</v>
      </c>
      <c r="AD19" s="644">
        <v>4</v>
      </c>
      <c r="AE19" s="644">
        <v>0</v>
      </c>
      <c r="AF19" s="644">
        <v>0</v>
      </c>
      <c r="AG19" s="644">
        <v>1</v>
      </c>
      <c r="AH19" s="644">
        <v>0.65</v>
      </c>
      <c r="AI19" s="642" t="s">
        <v>2306</v>
      </c>
      <c r="AJ19" s="642" t="s">
        <v>2307</v>
      </c>
      <c r="AK19" s="642">
        <v>1.69</v>
      </c>
      <c r="AL19" s="641">
        <v>5.07</v>
      </c>
      <c r="AM19" s="644">
        <v>3</v>
      </c>
      <c r="AN19" s="644">
        <v>8.5</v>
      </c>
      <c r="AO19" s="644">
        <v>3</v>
      </c>
      <c r="AP19" s="645">
        <v>25.5</v>
      </c>
      <c r="AQ19" s="641" t="b">
        <v>1</v>
      </c>
      <c r="AR19" s="642">
        <v>2</v>
      </c>
      <c r="AS19" s="641">
        <v>153.18</v>
      </c>
      <c r="AT19" s="647">
        <v>0.15</v>
      </c>
      <c r="AU19" s="642">
        <v>28</v>
      </c>
      <c r="AV19" s="642">
        <v>34</v>
      </c>
      <c r="AW19" s="644">
        <v>7</v>
      </c>
      <c r="AX19" s="642" t="b">
        <v>0</v>
      </c>
      <c r="AY19" s="641">
        <v>952</v>
      </c>
      <c r="AZ19" s="641">
        <v>1500</v>
      </c>
      <c r="BA19" s="642">
        <v>50</v>
      </c>
      <c r="BB19" s="642">
        <v>50</v>
      </c>
      <c r="BC19" s="641">
        <v>0</v>
      </c>
      <c r="BD19" s="641">
        <v>1959.6</v>
      </c>
      <c r="BE19" s="641">
        <v>0</v>
      </c>
      <c r="BF19" s="641">
        <v>428.4</v>
      </c>
      <c r="BG19" s="641">
        <v>952</v>
      </c>
      <c r="BH19" s="642">
        <v>0.8571428571428571</v>
      </c>
      <c r="BI19" s="641">
        <v>350</v>
      </c>
    </row>
    <row r="20" spans="1:61" ht="15">
      <c r="A20" s="641">
        <f t="shared" si="0"/>
        <v>17</v>
      </c>
      <c r="B20" s="642" t="s">
        <v>2319</v>
      </c>
      <c r="C20" s="643">
        <v>6</v>
      </c>
      <c r="D20" s="643">
        <v>35.168545253125608</v>
      </c>
      <c r="E20" s="644" t="s">
        <v>2303</v>
      </c>
      <c r="F20" s="644">
        <v>280</v>
      </c>
      <c r="G20" s="644" t="s">
        <v>2303</v>
      </c>
      <c r="H20" s="644">
        <v>70</v>
      </c>
      <c r="I20" s="644">
        <v>7616</v>
      </c>
      <c r="J20" s="644">
        <v>64736</v>
      </c>
      <c r="K20" s="644">
        <v>0</v>
      </c>
      <c r="L20" s="644">
        <v>6528</v>
      </c>
      <c r="M20" s="644">
        <v>3808</v>
      </c>
      <c r="N20" s="644">
        <v>285.60000000000002</v>
      </c>
      <c r="O20" s="644">
        <v>285.60000000000002</v>
      </c>
      <c r="P20" s="644">
        <v>285.60000000000002</v>
      </c>
      <c r="Q20" s="644">
        <v>285.60000000000002</v>
      </c>
      <c r="R20" s="644">
        <v>160</v>
      </c>
      <c r="S20" s="644">
        <v>2</v>
      </c>
      <c r="T20" s="645">
        <v>3808</v>
      </c>
      <c r="U20" s="645">
        <v>328</v>
      </c>
      <c r="V20" s="644">
        <v>0</v>
      </c>
      <c r="W20" s="644">
        <v>0</v>
      </c>
      <c r="X20" s="644">
        <v>17</v>
      </c>
      <c r="Y20" s="645">
        <v>400</v>
      </c>
      <c r="Z20" s="644">
        <v>4.5</v>
      </c>
      <c r="AA20" s="644">
        <v>4.5</v>
      </c>
      <c r="AB20" s="644">
        <v>1</v>
      </c>
      <c r="AC20" s="645">
        <v>400</v>
      </c>
      <c r="AD20" s="644">
        <v>4</v>
      </c>
      <c r="AE20" s="644">
        <v>0</v>
      </c>
      <c r="AF20" s="644">
        <v>0</v>
      </c>
      <c r="AG20" s="644">
        <v>1</v>
      </c>
      <c r="AH20" s="644">
        <v>0.65</v>
      </c>
      <c r="AI20" s="642" t="s">
        <v>2306</v>
      </c>
      <c r="AJ20" s="642" t="s">
        <v>2299</v>
      </c>
      <c r="AK20" s="642">
        <v>1.69</v>
      </c>
      <c r="AL20" s="641">
        <v>13.52</v>
      </c>
      <c r="AM20" s="644">
        <v>8</v>
      </c>
      <c r="AN20" s="644">
        <v>8.5</v>
      </c>
      <c r="AO20" s="644">
        <v>2</v>
      </c>
      <c r="AP20" s="645">
        <v>17</v>
      </c>
      <c r="AQ20" s="641" t="b">
        <v>1</v>
      </c>
      <c r="AR20" s="644">
        <v>2</v>
      </c>
      <c r="AS20" s="641">
        <v>408.48</v>
      </c>
      <c r="AT20" s="647">
        <v>0.15000000000000002</v>
      </c>
      <c r="AU20" s="642">
        <v>28</v>
      </c>
      <c r="AV20" s="642">
        <v>136</v>
      </c>
      <c r="AW20" s="644">
        <v>7</v>
      </c>
      <c r="AX20" s="642" t="b">
        <v>1</v>
      </c>
      <c r="AY20" s="641">
        <v>952</v>
      </c>
      <c r="AZ20" s="641">
        <v>1500</v>
      </c>
      <c r="BA20" s="642">
        <v>50</v>
      </c>
      <c r="BB20" s="642">
        <v>50</v>
      </c>
      <c r="BC20" s="641">
        <v>0</v>
      </c>
      <c r="BD20" s="641">
        <v>5225.6000000000004</v>
      </c>
      <c r="BE20" s="641">
        <v>0</v>
      </c>
      <c r="BF20" s="641">
        <v>1142.4000000000001</v>
      </c>
      <c r="BG20" s="641">
        <v>3808</v>
      </c>
      <c r="BH20" s="642">
        <v>0.8571428571428571</v>
      </c>
      <c r="BI20" s="641">
        <v>350</v>
      </c>
    </row>
  </sheetData>
  <sheetProtection algorithmName="SHA-512" hashValue="HKL3Kn/QidevLRbFioFTT5UfvTjRnkvzJvvvRp/F9tWbo51OKkF3FQq1iXuFMsSAzMAeCqpEvAyEWp/e1ixg8w==" saltValue="VIvDYgQBYum7G0hIijsngg==" spinCount="100000" sheet="1" objects="1" scenarios="1" insertHyperlinks="0" pivotTables="0"/>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greementNotAccepted">
    <tabColor rgb="FFFF0000"/>
  </sheetPr>
  <dimension ref="A1:AS412"/>
  <sheetViews>
    <sheetView zoomScaleNormal="100" workbookViewId="0">
      <selection activeCell="F11" sqref="F11"/>
    </sheetView>
  </sheetViews>
  <sheetFormatPr defaultRowHeight="12.75"/>
  <cols>
    <col min="2" max="2" width="101" customWidth="1"/>
  </cols>
  <sheetData>
    <row r="1" spans="1:45" ht="13.5" thickBot="1">
      <c r="A1" s="87"/>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7"/>
      <c r="AJ1" s="87"/>
      <c r="AK1" s="87"/>
      <c r="AL1" s="87"/>
      <c r="AM1" s="87"/>
      <c r="AN1" s="87"/>
      <c r="AO1" s="87"/>
      <c r="AP1" s="87"/>
      <c r="AQ1" s="87"/>
      <c r="AR1" s="87"/>
      <c r="AS1" s="87"/>
    </row>
    <row r="2" spans="1:45" ht="23.25">
      <c r="A2" s="87"/>
      <c r="B2" s="85" t="s">
        <v>2051</v>
      </c>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7"/>
      <c r="AJ2" s="87"/>
      <c r="AK2" s="87"/>
      <c r="AL2" s="87"/>
      <c r="AM2" s="87"/>
      <c r="AN2" s="87"/>
      <c r="AO2" s="87"/>
      <c r="AP2" s="87"/>
      <c r="AQ2" s="87"/>
      <c r="AR2" s="87"/>
      <c r="AS2" s="87"/>
    </row>
    <row r="3" spans="1:45">
      <c r="A3" s="87"/>
      <c r="B3" s="88"/>
      <c r="C3" s="87"/>
      <c r="D3" s="87"/>
      <c r="E3" s="87"/>
      <c r="F3" s="87"/>
      <c r="G3" s="87"/>
      <c r="H3" s="87"/>
      <c r="I3" s="87"/>
      <c r="J3" s="87"/>
      <c r="K3" s="87"/>
      <c r="L3" s="87"/>
      <c r="M3" s="87"/>
      <c r="N3" s="87"/>
      <c r="O3" s="87"/>
      <c r="P3" s="87"/>
      <c r="Q3" s="87"/>
      <c r="R3" s="87"/>
      <c r="S3" s="87"/>
      <c r="T3" s="87"/>
      <c r="U3" s="87"/>
      <c r="V3" s="87"/>
      <c r="W3" s="87"/>
      <c r="X3" s="87"/>
      <c r="Y3" s="87"/>
      <c r="Z3" s="87"/>
      <c r="AA3" s="87"/>
      <c r="AB3" s="87"/>
      <c r="AC3" s="87"/>
      <c r="AD3" s="87"/>
      <c r="AE3" s="87"/>
      <c r="AF3" s="87"/>
      <c r="AG3" s="87"/>
      <c r="AH3" s="87"/>
      <c r="AI3" s="87"/>
      <c r="AJ3" s="87"/>
      <c r="AK3" s="87"/>
      <c r="AL3" s="87"/>
      <c r="AM3" s="87"/>
      <c r="AN3" s="87"/>
      <c r="AO3" s="87"/>
      <c r="AP3" s="87"/>
      <c r="AQ3" s="87"/>
      <c r="AR3" s="87"/>
      <c r="AS3" s="87"/>
    </row>
    <row r="4" spans="1:45" ht="21">
      <c r="A4" s="87"/>
      <c r="B4" s="89" t="s">
        <v>2046</v>
      </c>
      <c r="C4" s="87"/>
      <c r="D4" s="87"/>
      <c r="E4" s="87"/>
      <c r="F4" s="87"/>
      <c r="G4" s="87"/>
      <c r="H4" s="87"/>
      <c r="I4" s="87"/>
      <c r="J4" s="87"/>
      <c r="K4" s="87"/>
      <c r="L4" s="87"/>
      <c r="M4" s="87"/>
      <c r="N4" s="87"/>
      <c r="O4" s="87"/>
      <c r="P4" s="87"/>
      <c r="Q4" s="87"/>
      <c r="R4" s="87"/>
      <c r="S4" s="87"/>
      <c r="T4" s="87"/>
      <c r="U4" s="87"/>
      <c r="V4" s="87"/>
      <c r="W4" s="87"/>
      <c r="X4" s="87"/>
      <c r="Y4" s="87"/>
      <c r="Z4" s="87"/>
      <c r="AA4" s="87"/>
      <c r="AB4" s="87"/>
      <c r="AC4" s="87"/>
      <c r="AD4" s="87"/>
      <c r="AE4" s="87"/>
      <c r="AF4" s="87"/>
      <c r="AG4" s="87"/>
      <c r="AH4" s="87"/>
      <c r="AI4" s="87"/>
      <c r="AJ4" s="87"/>
      <c r="AK4" s="87"/>
      <c r="AL4" s="87"/>
      <c r="AM4" s="87"/>
      <c r="AN4" s="87"/>
      <c r="AO4" s="87"/>
      <c r="AP4" s="87"/>
      <c r="AQ4" s="87"/>
      <c r="AR4" s="87"/>
      <c r="AS4" s="87"/>
    </row>
    <row r="5" spans="1:45" ht="21">
      <c r="A5" s="87"/>
      <c r="B5" s="89"/>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row>
    <row r="6" spans="1:45" ht="21">
      <c r="A6" s="87"/>
      <c r="B6" s="93" t="s">
        <v>2055</v>
      </c>
      <c r="C6" s="87"/>
      <c r="D6" s="87"/>
      <c r="E6" s="87"/>
      <c r="F6" s="87"/>
      <c r="G6" s="87"/>
      <c r="H6" s="87"/>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row>
    <row r="7" spans="1:45" ht="21">
      <c r="A7" s="87"/>
      <c r="B7" s="90"/>
      <c r="C7" s="87"/>
      <c r="D7" s="87"/>
      <c r="E7" s="87"/>
      <c r="F7" s="87"/>
      <c r="G7" s="87"/>
      <c r="H7" s="87"/>
      <c r="I7" s="87"/>
      <c r="J7" s="87"/>
      <c r="K7" s="87"/>
      <c r="L7" s="87"/>
      <c r="M7" s="87"/>
      <c r="N7" s="87"/>
      <c r="O7" s="87"/>
      <c r="P7" s="87"/>
      <c r="Q7" s="87"/>
      <c r="R7" s="87"/>
      <c r="S7" s="87"/>
      <c r="T7" s="87"/>
      <c r="U7" s="87"/>
      <c r="V7" s="87"/>
      <c r="W7" s="87"/>
      <c r="X7" s="87"/>
      <c r="Y7" s="87"/>
      <c r="Z7" s="87"/>
      <c r="AA7" s="87"/>
      <c r="AB7" s="87"/>
      <c r="AC7" s="87"/>
      <c r="AD7" s="87"/>
      <c r="AE7" s="87"/>
      <c r="AF7" s="87"/>
      <c r="AG7" s="87"/>
      <c r="AH7" s="87"/>
      <c r="AI7" s="87"/>
      <c r="AJ7" s="87"/>
      <c r="AK7" s="87"/>
      <c r="AL7" s="87"/>
      <c r="AM7" s="87"/>
      <c r="AN7" s="87"/>
      <c r="AO7" s="87"/>
      <c r="AP7" s="87"/>
      <c r="AQ7" s="87"/>
      <c r="AR7" s="87"/>
      <c r="AS7" s="87"/>
    </row>
    <row r="8" spans="1:45" ht="21">
      <c r="A8" s="87"/>
      <c r="B8" s="89" t="s">
        <v>2047</v>
      </c>
      <c r="C8" s="87"/>
      <c r="D8" s="87"/>
      <c r="E8" s="87"/>
      <c r="F8" s="87"/>
      <c r="G8" s="87"/>
      <c r="H8" s="87"/>
      <c r="I8" s="87"/>
      <c r="J8" s="87"/>
      <c r="K8" s="87"/>
      <c r="L8" s="87"/>
      <c r="M8" s="87"/>
      <c r="N8" s="87"/>
      <c r="O8" s="87"/>
      <c r="P8" s="87"/>
      <c r="Q8" s="87"/>
      <c r="R8" s="87"/>
      <c r="S8" s="87"/>
      <c r="T8" s="87"/>
      <c r="U8" s="87"/>
      <c r="V8" s="87"/>
      <c r="W8" s="87"/>
      <c r="X8" s="87"/>
      <c r="Y8" s="87"/>
      <c r="Z8" s="87"/>
      <c r="AA8" s="87"/>
      <c r="AB8" s="87"/>
      <c r="AC8" s="87"/>
      <c r="AD8" s="87"/>
      <c r="AE8" s="87"/>
      <c r="AF8" s="87"/>
      <c r="AG8" s="87"/>
      <c r="AH8" s="87"/>
      <c r="AI8" s="87"/>
      <c r="AJ8" s="87"/>
      <c r="AK8" s="87"/>
      <c r="AL8" s="87"/>
      <c r="AM8" s="87"/>
      <c r="AN8" s="87"/>
      <c r="AO8" s="87"/>
      <c r="AP8" s="87"/>
      <c r="AQ8" s="87"/>
      <c r="AR8" s="87"/>
      <c r="AS8" s="87"/>
    </row>
    <row r="9" spans="1:45" ht="21">
      <c r="A9" s="87"/>
      <c r="B9" s="91" t="s">
        <v>2048</v>
      </c>
      <c r="C9" s="87"/>
      <c r="D9" s="87"/>
      <c r="E9" s="87"/>
      <c r="F9" s="87"/>
      <c r="G9" s="87"/>
      <c r="H9" s="87"/>
      <c r="I9" s="87"/>
      <c r="J9" s="87"/>
      <c r="K9" s="87"/>
      <c r="L9" s="87"/>
      <c r="M9" s="87"/>
      <c r="N9" s="87"/>
      <c r="O9" s="87"/>
      <c r="P9" s="87"/>
      <c r="Q9" s="87"/>
      <c r="R9" s="87"/>
      <c r="S9" s="87"/>
      <c r="T9" s="87"/>
      <c r="U9" s="87"/>
      <c r="V9" s="87"/>
      <c r="W9" s="87"/>
      <c r="X9" s="87"/>
      <c r="Y9" s="87"/>
      <c r="Z9" s="87"/>
      <c r="AA9" s="87"/>
      <c r="AB9" s="87"/>
      <c r="AC9" s="87"/>
      <c r="AD9" s="87"/>
      <c r="AE9" s="87"/>
      <c r="AF9" s="87"/>
      <c r="AG9" s="87"/>
      <c r="AH9" s="87"/>
      <c r="AI9" s="87"/>
      <c r="AJ9" s="87"/>
      <c r="AK9" s="87"/>
      <c r="AL9" s="87"/>
      <c r="AM9" s="87"/>
      <c r="AN9" s="87"/>
      <c r="AO9" s="87"/>
      <c r="AP9" s="87"/>
      <c r="AQ9" s="87"/>
      <c r="AR9" s="87"/>
      <c r="AS9" s="87"/>
    </row>
    <row r="10" spans="1:45" ht="21">
      <c r="A10" s="87"/>
      <c r="B10" s="91" t="s">
        <v>2049</v>
      </c>
      <c r="C10" s="87"/>
      <c r="D10" s="87"/>
      <c r="E10" s="87"/>
      <c r="F10" s="87"/>
      <c r="G10" s="87"/>
      <c r="H10" s="87"/>
      <c r="I10" s="87"/>
      <c r="J10" s="87"/>
      <c r="K10" s="87"/>
      <c r="L10" s="87"/>
      <c r="M10" s="87"/>
      <c r="N10" s="87"/>
      <c r="O10" s="87"/>
      <c r="P10" s="87"/>
      <c r="Q10" s="87"/>
      <c r="R10" s="87"/>
      <c r="S10" s="87"/>
      <c r="T10" s="87"/>
      <c r="U10" s="87"/>
      <c r="V10" s="87"/>
      <c r="W10" s="87"/>
      <c r="X10" s="87"/>
      <c r="Y10" s="87"/>
      <c r="Z10" s="87"/>
      <c r="AA10" s="87"/>
      <c r="AB10" s="87"/>
      <c r="AC10" s="87"/>
      <c r="AD10" s="87"/>
      <c r="AE10" s="87"/>
      <c r="AF10" s="87"/>
      <c r="AG10" s="87"/>
      <c r="AH10" s="87"/>
      <c r="AI10" s="87"/>
      <c r="AJ10" s="87"/>
      <c r="AK10" s="87"/>
      <c r="AL10" s="87"/>
      <c r="AM10" s="87"/>
      <c r="AN10" s="87"/>
      <c r="AO10" s="87"/>
      <c r="AP10" s="87"/>
      <c r="AQ10" s="87"/>
      <c r="AR10" s="87"/>
      <c r="AS10" s="87"/>
    </row>
    <row r="11" spans="1:45" ht="21">
      <c r="A11" s="87"/>
      <c r="B11" s="86" t="s">
        <v>2050</v>
      </c>
      <c r="C11" s="87"/>
      <c r="D11" s="87"/>
      <c r="E11" s="87"/>
      <c r="F11" s="87"/>
      <c r="G11" s="87"/>
      <c r="H11" s="87"/>
      <c r="I11" s="87"/>
      <c r="J11" s="87"/>
      <c r="K11" s="87"/>
      <c r="L11" s="87"/>
      <c r="M11" s="87"/>
      <c r="N11" s="87"/>
      <c r="O11" s="87"/>
      <c r="P11" s="87"/>
      <c r="Q11" s="87"/>
      <c r="R11" s="87"/>
      <c r="S11" s="87"/>
      <c r="T11" s="87"/>
      <c r="U11" s="87"/>
      <c r="V11" s="87"/>
      <c r="W11" s="87"/>
      <c r="X11" s="87"/>
      <c r="Y11" s="87"/>
      <c r="Z11" s="87"/>
      <c r="AA11" s="87"/>
      <c r="AB11" s="87"/>
      <c r="AC11" s="87"/>
      <c r="AD11" s="87"/>
      <c r="AE11" s="87"/>
      <c r="AF11" s="87"/>
      <c r="AG11" s="87"/>
      <c r="AH11" s="87"/>
      <c r="AI11" s="87"/>
      <c r="AJ11" s="87"/>
      <c r="AK11" s="87"/>
      <c r="AL11" s="87"/>
      <c r="AM11" s="87"/>
      <c r="AN11" s="87"/>
      <c r="AO11" s="87"/>
      <c r="AP11" s="87"/>
      <c r="AQ11" s="87"/>
      <c r="AR11" s="87"/>
      <c r="AS11" s="87"/>
    </row>
    <row r="12" spans="1:45" ht="21">
      <c r="A12" s="87"/>
      <c r="B12" s="89" t="s">
        <v>2052</v>
      </c>
      <c r="C12" s="87"/>
      <c r="D12" s="87"/>
      <c r="E12" s="87"/>
      <c r="F12" s="87"/>
      <c r="G12" s="87"/>
      <c r="H12" s="87"/>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row>
    <row r="13" spans="1:45">
      <c r="A13" s="87"/>
      <c r="B13" s="92"/>
      <c r="C13" s="87"/>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c r="AI13" s="87"/>
      <c r="AJ13" s="87"/>
      <c r="AK13" s="87"/>
      <c r="AL13" s="87"/>
      <c r="AM13" s="87"/>
      <c r="AN13" s="87"/>
      <c r="AO13" s="87"/>
      <c r="AP13" s="87"/>
      <c r="AQ13" s="87"/>
      <c r="AR13" s="87"/>
      <c r="AS13" s="87"/>
    </row>
    <row r="14" spans="1:45">
      <c r="A14" s="87"/>
      <c r="B14" s="87"/>
      <c r="C14" s="87"/>
      <c r="D14" s="87"/>
      <c r="E14" s="87"/>
      <c r="F14" s="87"/>
      <c r="G14" s="87"/>
      <c r="H14" s="87"/>
      <c r="I14" s="87"/>
      <c r="J14" s="87"/>
      <c r="K14" s="87"/>
      <c r="L14" s="87"/>
      <c r="M14" s="87"/>
      <c r="N14" s="87"/>
      <c r="O14" s="87"/>
      <c r="P14" s="87"/>
      <c r="Q14" s="87"/>
      <c r="R14" s="87"/>
      <c r="S14" s="87"/>
      <c r="T14" s="87"/>
      <c r="U14" s="87"/>
      <c r="V14" s="87"/>
      <c r="W14" s="87"/>
      <c r="X14" s="87"/>
      <c r="Y14" s="87"/>
      <c r="Z14" s="87"/>
      <c r="AA14" s="87"/>
      <c r="AB14" s="87"/>
      <c r="AC14" s="87"/>
      <c r="AD14" s="87"/>
      <c r="AE14" s="87"/>
      <c r="AF14" s="87"/>
      <c r="AG14" s="87"/>
      <c r="AH14" s="87"/>
      <c r="AI14" s="87"/>
      <c r="AJ14" s="87"/>
      <c r="AK14" s="87"/>
      <c r="AL14" s="87"/>
      <c r="AM14" s="87"/>
      <c r="AN14" s="87"/>
      <c r="AO14" s="87"/>
      <c r="AP14" s="87"/>
      <c r="AQ14" s="87"/>
      <c r="AR14" s="87"/>
      <c r="AS14" s="87"/>
    </row>
    <row r="15" spans="1:45">
      <c r="A15" s="87"/>
      <c r="B15" s="87"/>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7"/>
      <c r="AG15" s="87"/>
      <c r="AH15" s="87"/>
      <c r="AI15" s="87"/>
      <c r="AJ15" s="87"/>
      <c r="AK15" s="87"/>
      <c r="AL15" s="87"/>
      <c r="AM15" s="87"/>
      <c r="AN15" s="87"/>
      <c r="AO15" s="87"/>
      <c r="AP15" s="87"/>
      <c r="AQ15" s="87"/>
      <c r="AR15" s="87"/>
      <c r="AS15" s="87"/>
    </row>
    <row r="16" spans="1:45">
      <c r="A16" s="87"/>
      <c r="B16" s="87"/>
      <c r="C16" s="87"/>
      <c r="D16" s="87"/>
      <c r="E16" s="87"/>
      <c r="F16" s="87"/>
      <c r="G16" s="87"/>
      <c r="H16" s="87"/>
      <c r="I16" s="87"/>
      <c r="J16" s="87"/>
      <c r="K16" s="87"/>
      <c r="L16" s="87"/>
      <c r="M16" s="87"/>
      <c r="N16" s="87"/>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7"/>
      <c r="AO16" s="87"/>
      <c r="AP16" s="87"/>
      <c r="AQ16" s="87"/>
      <c r="AR16" s="87"/>
      <c r="AS16" s="87"/>
    </row>
    <row r="17" spans="1:45">
      <c r="A17" s="87"/>
      <c r="B17" s="87"/>
      <c r="C17" s="87"/>
      <c r="D17" s="87"/>
      <c r="E17" s="87"/>
      <c r="F17" s="87"/>
      <c r="G17" s="87"/>
      <c r="H17" s="87"/>
      <c r="I17" s="87"/>
      <c r="J17" s="87"/>
      <c r="K17" s="87"/>
      <c r="L17" s="87"/>
      <c r="M17" s="87"/>
      <c r="N17" s="87"/>
      <c r="O17" s="87"/>
      <c r="P17" s="87"/>
      <c r="Q17" s="87"/>
      <c r="R17" s="87"/>
      <c r="S17" s="87"/>
      <c r="T17" s="87"/>
      <c r="U17" s="87"/>
      <c r="V17" s="87"/>
      <c r="W17" s="87"/>
      <c r="X17" s="87"/>
      <c r="Y17" s="87"/>
      <c r="Z17" s="87"/>
      <c r="AA17" s="87"/>
      <c r="AB17" s="87"/>
      <c r="AC17" s="87"/>
      <c r="AD17" s="87"/>
      <c r="AE17" s="87"/>
      <c r="AF17" s="87"/>
      <c r="AG17" s="87"/>
      <c r="AH17" s="87"/>
      <c r="AI17" s="87"/>
      <c r="AJ17" s="87"/>
      <c r="AK17" s="87"/>
      <c r="AL17" s="87"/>
      <c r="AM17" s="87"/>
      <c r="AN17" s="87"/>
      <c r="AO17" s="87"/>
      <c r="AP17" s="87"/>
      <c r="AQ17" s="87"/>
      <c r="AR17" s="87"/>
      <c r="AS17" s="87"/>
    </row>
    <row r="18" spans="1:45">
      <c r="A18" s="87"/>
      <c r="B18" s="87"/>
      <c r="C18" s="87"/>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7"/>
      <c r="AK18" s="87"/>
      <c r="AL18" s="87"/>
      <c r="AM18" s="87"/>
      <c r="AN18" s="87"/>
      <c r="AO18" s="87"/>
      <c r="AP18" s="87"/>
      <c r="AQ18" s="87"/>
      <c r="AR18" s="87"/>
      <c r="AS18" s="87"/>
    </row>
    <row r="19" spans="1:45">
      <c r="A19" s="87"/>
      <c r="B19" s="87"/>
      <c r="C19" s="87"/>
      <c r="D19" s="87"/>
      <c r="E19" s="87"/>
      <c r="F19" s="87"/>
      <c r="G19" s="87"/>
      <c r="H19" s="87"/>
      <c r="I19" s="87"/>
      <c r="J19" s="87"/>
      <c r="K19" s="87"/>
      <c r="L19" s="87"/>
      <c r="M19" s="87"/>
      <c r="N19" s="87"/>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7"/>
      <c r="AO19" s="87"/>
      <c r="AP19" s="87"/>
      <c r="AQ19" s="87"/>
      <c r="AR19" s="87"/>
      <c r="AS19" s="87"/>
    </row>
    <row r="20" spans="1:45">
      <c r="A20" s="87"/>
      <c r="B20" s="87"/>
      <c r="C20" s="87"/>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7"/>
      <c r="AH20" s="87"/>
      <c r="AI20" s="87"/>
      <c r="AJ20" s="87"/>
      <c r="AK20" s="87"/>
      <c r="AL20" s="87"/>
      <c r="AM20" s="87"/>
      <c r="AN20" s="87"/>
      <c r="AO20" s="87"/>
      <c r="AP20" s="87"/>
      <c r="AQ20" s="87"/>
      <c r="AR20" s="87"/>
      <c r="AS20" s="87"/>
    </row>
    <row r="21" spans="1:45">
      <c r="A21" s="87"/>
      <c r="B21" s="87"/>
      <c r="C21" s="87"/>
      <c r="D21" s="87"/>
      <c r="E21" s="87"/>
      <c r="F21" s="87"/>
      <c r="G21" s="87"/>
      <c r="H21" s="87"/>
      <c r="I21" s="87"/>
      <c r="J21" s="87"/>
      <c r="K21" s="87"/>
      <c r="L21" s="87"/>
      <c r="M21" s="87"/>
      <c r="N21" s="87"/>
      <c r="O21" s="87"/>
      <c r="P21" s="87"/>
      <c r="Q21" s="87"/>
      <c r="R21" s="87"/>
      <c r="S21" s="87"/>
      <c r="T21" s="87"/>
      <c r="U21" s="87"/>
      <c r="V21" s="87"/>
      <c r="W21" s="87"/>
      <c r="X21" s="87"/>
      <c r="Y21" s="87"/>
      <c r="Z21" s="87"/>
      <c r="AA21" s="87"/>
      <c r="AB21" s="87"/>
      <c r="AC21" s="87"/>
      <c r="AD21" s="87"/>
      <c r="AE21" s="87"/>
      <c r="AF21" s="87"/>
      <c r="AG21" s="87"/>
      <c r="AH21" s="87"/>
      <c r="AI21" s="87"/>
      <c r="AJ21" s="87"/>
      <c r="AK21" s="87"/>
      <c r="AL21" s="87"/>
      <c r="AM21" s="87"/>
      <c r="AN21" s="87"/>
      <c r="AO21" s="87"/>
      <c r="AP21" s="87"/>
      <c r="AQ21" s="87"/>
      <c r="AR21" s="87"/>
      <c r="AS21" s="87"/>
    </row>
    <row r="22" spans="1:45">
      <c r="A22" s="87"/>
      <c r="B22" s="87"/>
      <c r="C22" s="87"/>
      <c r="D22" s="87"/>
      <c r="E22" s="87"/>
      <c r="F22" s="87"/>
      <c r="G22" s="87"/>
      <c r="H22" s="87"/>
      <c r="I22" s="87"/>
      <c r="J22" s="87"/>
      <c r="K22" s="87"/>
      <c r="L22" s="87"/>
      <c r="M22" s="87"/>
      <c r="N22" s="87"/>
      <c r="O22" s="87"/>
      <c r="P22" s="87"/>
      <c r="Q22" s="87"/>
      <c r="R22" s="87"/>
      <c r="S22" s="87"/>
      <c r="T22" s="87"/>
      <c r="U22" s="87"/>
      <c r="V22" s="87"/>
      <c r="W22" s="87"/>
      <c r="X22" s="87"/>
      <c r="Y22" s="87"/>
      <c r="Z22" s="87"/>
      <c r="AA22" s="87"/>
      <c r="AB22" s="87"/>
      <c r="AC22" s="87"/>
      <c r="AD22" s="87"/>
      <c r="AE22" s="87"/>
      <c r="AF22" s="87"/>
      <c r="AG22" s="87"/>
      <c r="AH22" s="87"/>
      <c r="AI22" s="87"/>
      <c r="AJ22" s="87"/>
      <c r="AK22" s="87"/>
      <c r="AL22" s="87"/>
      <c r="AM22" s="87"/>
      <c r="AN22" s="87"/>
      <c r="AO22" s="87"/>
      <c r="AP22" s="87"/>
      <c r="AQ22" s="87"/>
      <c r="AR22" s="87"/>
      <c r="AS22" s="87"/>
    </row>
    <row r="23" spans="1:45">
      <c r="A23" s="87"/>
      <c r="B23" s="87"/>
      <c r="C23" s="87"/>
      <c r="D23" s="87"/>
      <c r="E23" s="87"/>
      <c r="F23" s="87"/>
      <c r="G23" s="87"/>
      <c r="H23" s="87"/>
      <c r="I23" s="87"/>
      <c r="J23" s="87"/>
      <c r="K23" s="87"/>
      <c r="L23" s="87"/>
      <c r="M23" s="87"/>
      <c r="N23" s="87"/>
      <c r="O23" s="87"/>
      <c r="P23" s="87"/>
      <c r="Q23" s="87"/>
      <c r="R23" s="87"/>
      <c r="S23" s="87"/>
      <c r="T23" s="87"/>
      <c r="U23" s="87"/>
      <c r="V23" s="87"/>
      <c r="W23" s="87"/>
      <c r="X23" s="87"/>
      <c r="Y23" s="87"/>
      <c r="Z23" s="87"/>
      <c r="AA23" s="87"/>
      <c r="AB23" s="87"/>
      <c r="AC23" s="87"/>
      <c r="AD23" s="87"/>
      <c r="AE23" s="87"/>
      <c r="AF23" s="87"/>
      <c r="AG23" s="87"/>
      <c r="AH23" s="87"/>
      <c r="AI23" s="87"/>
      <c r="AJ23" s="87"/>
      <c r="AK23" s="87"/>
      <c r="AL23" s="87"/>
      <c r="AM23" s="87"/>
      <c r="AN23" s="87"/>
      <c r="AO23" s="87"/>
      <c r="AP23" s="87"/>
      <c r="AQ23" s="87"/>
      <c r="AR23" s="87"/>
      <c r="AS23" s="87"/>
    </row>
    <row r="24" spans="1:45">
      <c r="A24" s="87"/>
      <c r="B24" s="87"/>
      <c r="C24" s="87"/>
      <c r="D24" s="87"/>
      <c r="E24" s="87"/>
      <c r="F24" s="87"/>
      <c r="G24" s="87"/>
      <c r="H24" s="87"/>
      <c r="I24" s="87"/>
      <c r="J24" s="87"/>
      <c r="K24" s="87"/>
      <c r="L24" s="87"/>
      <c r="M24" s="87"/>
      <c r="N24" s="87"/>
      <c r="O24" s="87"/>
      <c r="P24" s="87"/>
      <c r="Q24" s="87"/>
      <c r="R24" s="87"/>
      <c r="S24" s="87"/>
      <c r="T24" s="87"/>
      <c r="U24" s="87"/>
      <c r="V24" s="87"/>
      <c r="W24" s="87"/>
      <c r="X24" s="87"/>
      <c r="Y24" s="87"/>
      <c r="Z24" s="87"/>
      <c r="AA24" s="87"/>
      <c r="AB24" s="87"/>
      <c r="AC24" s="87"/>
      <c r="AD24" s="87"/>
      <c r="AE24" s="87"/>
      <c r="AF24" s="87"/>
      <c r="AG24" s="87"/>
      <c r="AH24" s="87"/>
      <c r="AI24" s="87"/>
      <c r="AJ24" s="87"/>
      <c r="AK24" s="87"/>
      <c r="AL24" s="87"/>
      <c r="AM24" s="87"/>
      <c r="AN24" s="87"/>
      <c r="AO24" s="87"/>
      <c r="AP24" s="87"/>
      <c r="AQ24" s="87"/>
      <c r="AR24" s="87"/>
      <c r="AS24" s="87"/>
    </row>
    <row r="25" spans="1:45">
      <c r="A25" s="87"/>
      <c r="B25" s="87"/>
      <c r="C25" s="87"/>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row>
    <row r="26" spans="1:45">
      <c r="A26" s="87"/>
      <c r="B26" s="87"/>
      <c r="C26" s="87"/>
      <c r="D26" s="87"/>
      <c r="E26" s="87"/>
      <c r="F26" s="87"/>
      <c r="G26" s="87"/>
      <c r="H26" s="87"/>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7"/>
      <c r="AI26" s="87"/>
      <c r="AJ26" s="87"/>
      <c r="AK26" s="87"/>
      <c r="AL26" s="87"/>
      <c r="AM26" s="87"/>
      <c r="AN26" s="87"/>
      <c r="AO26" s="87"/>
      <c r="AP26" s="87"/>
      <c r="AQ26" s="87"/>
      <c r="AR26" s="87"/>
      <c r="AS26" s="87"/>
    </row>
    <row r="27" spans="1:45">
      <c r="A27" s="87"/>
      <c r="B27" s="87"/>
      <c r="C27" s="87"/>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7"/>
      <c r="AG27" s="87"/>
      <c r="AH27" s="87"/>
      <c r="AI27" s="87"/>
      <c r="AJ27" s="87"/>
      <c r="AK27" s="87"/>
      <c r="AL27" s="87"/>
      <c r="AM27" s="87"/>
      <c r="AN27" s="87"/>
      <c r="AO27" s="87"/>
      <c r="AP27" s="87"/>
      <c r="AQ27" s="87"/>
      <c r="AR27" s="87"/>
      <c r="AS27" s="87"/>
    </row>
    <row r="28" spans="1:45">
      <c r="A28" s="87"/>
      <c r="B28" s="87"/>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87"/>
    </row>
    <row r="29" spans="1:45">
      <c r="A29" s="87"/>
      <c r="B29" s="87"/>
      <c r="C29" s="87"/>
      <c r="D29" s="87"/>
      <c r="E29" s="87"/>
      <c r="F29" s="87"/>
      <c r="G29" s="87"/>
      <c r="H29" s="87"/>
      <c r="I29" s="87"/>
      <c r="J29" s="87"/>
      <c r="K29" s="87"/>
      <c r="L29" s="87"/>
      <c r="M29" s="87"/>
      <c r="N29" s="87"/>
      <c r="O29" s="87"/>
      <c r="P29" s="87"/>
      <c r="Q29" s="87"/>
      <c r="R29" s="87"/>
      <c r="S29" s="87"/>
      <c r="T29" s="87"/>
      <c r="U29" s="87"/>
      <c r="V29" s="87"/>
      <c r="W29" s="87"/>
      <c r="X29" s="87"/>
      <c r="Y29" s="87"/>
      <c r="Z29" s="87"/>
      <c r="AA29" s="87"/>
      <c r="AB29" s="87"/>
      <c r="AC29" s="87"/>
      <c r="AD29" s="87"/>
      <c r="AE29" s="87"/>
      <c r="AF29" s="87"/>
      <c r="AG29" s="87"/>
      <c r="AH29" s="87"/>
      <c r="AI29" s="87"/>
      <c r="AJ29" s="87"/>
      <c r="AK29" s="87"/>
      <c r="AL29" s="87"/>
      <c r="AM29" s="87"/>
      <c r="AN29" s="87"/>
      <c r="AO29" s="87"/>
      <c r="AP29" s="87"/>
      <c r="AQ29" s="87"/>
      <c r="AR29" s="87"/>
      <c r="AS29" s="87"/>
    </row>
    <row r="30" spans="1:45">
      <c r="A30" s="87"/>
      <c r="B30" s="87"/>
      <c r="C30" s="87"/>
      <c r="D30" s="87"/>
      <c r="E30" s="87"/>
      <c r="F30" s="87"/>
      <c r="G30" s="87"/>
      <c r="H30" s="87"/>
      <c r="I30" s="87"/>
      <c r="J30" s="87"/>
      <c r="K30" s="87"/>
      <c r="L30" s="87"/>
      <c r="M30" s="87"/>
      <c r="N30" s="87"/>
      <c r="O30" s="87"/>
      <c r="P30" s="87"/>
      <c r="Q30" s="87"/>
      <c r="R30" s="87"/>
      <c r="S30" s="87"/>
      <c r="T30" s="87"/>
      <c r="U30" s="87"/>
      <c r="V30" s="87"/>
      <c r="W30" s="87"/>
      <c r="X30" s="87"/>
      <c r="Y30" s="87"/>
      <c r="Z30" s="87"/>
      <c r="AA30" s="87"/>
      <c r="AB30" s="87"/>
      <c r="AC30" s="87"/>
      <c r="AD30" s="87"/>
      <c r="AE30" s="87"/>
      <c r="AF30" s="87"/>
      <c r="AG30" s="87"/>
      <c r="AH30" s="87"/>
      <c r="AI30" s="87"/>
      <c r="AJ30" s="87"/>
      <c r="AK30" s="87"/>
      <c r="AL30" s="87"/>
      <c r="AM30" s="87"/>
      <c r="AN30" s="87"/>
      <c r="AO30" s="87"/>
      <c r="AP30" s="87"/>
      <c r="AQ30" s="87"/>
      <c r="AR30" s="87"/>
      <c r="AS30" s="87"/>
    </row>
    <row r="31" spans="1:45">
      <c r="A31" s="87"/>
      <c r="B31" s="87"/>
      <c r="C31" s="87"/>
      <c r="D31" s="87"/>
      <c r="E31" s="87"/>
      <c r="F31" s="87"/>
      <c r="G31" s="87"/>
      <c r="H31" s="87"/>
      <c r="I31" s="87"/>
      <c r="J31" s="87"/>
      <c r="K31" s="87"/>
      <c r="L31" s="87"/>
      <c r="M31" s="87"/>
      <c r="N31" s="87"/>
      <c r="O31" s="87"/>
      <c r="P31" s="87"/>
      <c r="Q31" s="87"/>
      <c r="R31" s="87"/>
      <c r="S31" s="87"/>
      <c r="T31" s="87"/>
      <c r="U31" s="87"/>
      <c r="V31" s="87"/>
      <c r="W31" s="87"/>
      <c r="X31" s="87"/>
      <c r="Y31" s="87"/>
      <c r="Z31" s="87"/>
      <c r="AA31" s="87"/>
      <c r="AB31" s="87"/>
      <c r="AC31" s="87"/>
      <c r="AD31" s="87"/>
      <c r="AE31" s="87"/>
      <c r="AF31" s="87"/>
      <c r="AG31" s="87"/>
      <c r="AH31" s="87"/>
      <c r="AI31" s="87"/>
      <c r="AJ31" s="87"/>
      <c r="AK31" s="87"/>
      <c r="AL31" s="87"/>
      <c r="AM31" s="87"/>
      <c r="AN31" s="87"/>
      <c r="AO31" s="87"/>
      <c r="AP31" s="87"/>
      <c r="AQ31" s="87"/>
      <c r="AR31" s="87"/>
      <c r="AS31" s="87"/>
    </row>
    <row r="32" spans="1:45">
      <c r="A32" s="87"/>
      <c r="B32" s="87"/>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row>
    <row r="33" spans="1:45">
      <c r="A33" s="87"/>
      <c r="B33" s="87"/>
      <c r="C33" s="87"/>
      <c r="D33" s="87"/>
      <c r="E33" s="87"/>
      <c r="F33" s="87"/>
      <c r="G33" s="87"/>
      <c r="H33" s="87"/>
      <c r="I33" s="87"/>
      <c r="J33" s="87"/>
      <c r="K33" s="87"/>
      <c r="L33" s="87"/>
      <c r="M33" s="87"/>
      <c r="N33" s="87"/>
      <c r="O33" s="87"/>
      <c r="P33" s="87"/>
      <c r="Q33" s="87"/>
      <c r="R33" s="87"/>
      <c r="S33" s="87"/>
      <c r="T33" s="87"/>
      <c r="U33" s="87"/>
      <c r="V33" s="87"/>
      <c r="W33" s="87"/>
      <c r="X33" s="87"/>
      <c r="Y33" s="87"/>
      <c r="Z33" s="87"/>
      <c r="AA33" s="87"/>
      <c r="AB33" s="87"/>
      <c r="AC33" s="87"/>
      <c r="AD33" s="87"/>
      <c r="AE33" s="87"/>
      <c r="AF33" s="87"/>
      <c r="AG33" s="87"/>
      <c r="AH33" s="87"/>
      <c r="AI33" s="87"/>
      <c r="AJ33" s="87"/>
      <c r="AK33" s="87"/>
      <c r="AL33" s="87"/>
      <c r="AM33" s="87"/>
      <c r="AN33" s="87"/>
      <c r="AO33" s="87"/>
      <c r="AP33" s="87"/>
      <c r="AQ33" s="87"/>
      <c r="AR33" s="87"/>
      <c r="AS33" s="87"/>
    </row>
    <row r="34" spans="1:45">
      <c r="A34" s="87"/>
      <c r="B34" s="87"/>
      <c r="C34" s="87"/>
      <c r="D34" s="87"/>
      <c r="E34" s="87"/>
      <c r="F34" s="87"/>
      <c r="G34" s="87"/>
      <c r="H34" s="87"/>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7"/>
      <c r="AI34" s="87"/>
      <c r="AJ34" s="87"/>
      <c r="AK34" s="87"/>
      <c r="AL34" s="87"/>
      <c r="AM34" s="87"/>
      <c r="AN34" s="87"/>
      <c r="AO34" s="87"/>
      <c r="AP34" s="87"/>
      <c r="AQ34" s="87"/>
      <c r="AR34" s="87"/>
      <c r="AS34" s="87"/>
    </row>
    <row r="35" spans="1:45">
      <c r="A35" s="87"/>
      <c r="B35" s="87"/>
      <c r="C35" s="87"/>
      <c r="D35" s="87"/>
      <c r="E35" s="87"/>
      <c r="F35" s="87"/>
      <c r="G35" s="87"/>
      <c r="H35" s="87"/>
      <c r="I35" s="87"/>
      <c r="J35" s="87"/>
      <c r="K35" s="87"/>
      <c r="L35" s="87"/>
      <c r="M35" s="87"/>
      <c r="N35" s="87"/>
      <c r="O35" s="87"/>
      <c r="P35" s="87"/>
      <c r="Q35" s="87"/>
      <c r="R35" s="87"/>
      <c r="S35" s="87"/>
      <c r="T35" s="87"/>
      <c r="U35" s="87"/>
      <c r="V35" s="87"/>
      <c r="W35" s="87"/>
      <c r="X35" s="87"/>
      <c r="Y35" s="87"/>
      <c r="Z35" s="87"/>
      <c r="AA35" s="87"/>
      <c r="AB35" s="87"/>
      <c r="AC35" s="87"/>
      <c r="AD35" s="87"/>
      <c r="AE35" s="87"/>
      <c r="AF35" s="87"/>
      <c r="AG35" s="87"/>
      <c r="AH35" s="87"/>
      <c r="AI35" s="87"/>
      <c r="AJ35" s="87"/>
      <c r="AK35" s="87"/>
      <c r="AL35" s="87"/>
      <c r="AM35" s="87"/>
      <c r="AN35" s="87"/>
      <c r="AO35" s="87"/>
      <c r="AP35" s="87"/>
      <c r="AQ35" s="87"/>
      <c r="AR35" s="87"/>
      <c r="AS35" s="87"/>
    </row>
    <row r="36" spans="1:45">
      <c r="A36" s="87"/>
      <c r="B36" s="87"/>
      <c r="C36" s="87"/>
      <c r="D36" s="87"/>
      <c r="E36" s="87"/>
      <c r="F36" s="87"/>
      <c r="G36" s="87"/>
      <c r="H36" s="87"/>
      <c r="I36" s="87"/>
      <c r="J36" s="87"/>
      <c r="K36" s="87"/>
      <c r="L36" s="87"/>
      <c r="M36" s="87"/>
      <c r="N36" s="87"/>
      <c r="O36" s="87"/>
      <c r="P36" s="87"/>
      <c r="Q36" s="87"/>
      <c r="R36" s="87"/>
      <c r="S36" s="87"/>
      <c r="T36" s="87"/>
      <c r="U36" s="87"/>
      <c r="V36" s="87"/>
      <c r="W36" s="87"/>
      <c r="X36" s="87"/>
      <c r="Y36" s="87"/>
      <c r="Z36" s="87"/>
      <c r="AA36" s="87"/>
      <c r="AB36" s="87"/>
      <c r="AC36" s="87"/>
      <c r="AD36" s="87"/>
      <c r="AE36" s="87"/>
      <c r="AF36" s="87"/>
      <c r="AG36" s="87"/>
      <c r="AH36" s="87"/>
      <c r="AI36" s="87"/>
      <c r="AJ36" s="87"/>
      <c r="AK36" s="87"/>
      <c r="AL36" s="87"/>
      <c r="AM36" s="87"/>
      <c r="AN36" s="87"/>
      <c r="AO36" s="87"/>
      <c r="AP36" s="87"/>
      <c r="AQ36" s="87"/>
      <c r="AR36" s="87"/>
      <c r="AS36" s="87"/>
    </row>
    <row r="37" spans="1:45">
      <c r="A37" s="87"/>
      <c r="B37" s="87"/>
      <c r="C37" s="87"/>
      <c r="D37" s="87"/>
      <c r="E37" s="87"/>
      <c r="F37" s="87"/>
      <c r="G37" s="87"/>
      <c r="H37" s="87"/>
      <c r="I37" s="87"/>
      <c r="J37" s="87"/>
      <c r="K37" s="87"/>
      <c r="L37" s="87"/>
      <c r="M37" s="87"/>
      <c r="N37" s="87"/>
      <c r="O37" s="87"/>
      <c r="P37" s="87"/>
      <c r="Q37" s="87"/>
      <c r="R37" s="87"/>
      <c r="S37" s="87"/>
      <c r="T37" s="87"/>
      <c r="U37" s="87"/>
      <c r="V37" s="87"/>
      <c r="W37" s="87"/>
      <c r="X37" s="87"/>
      <c r="Y37" s="87"/>
      <c r="Z37" s="87"/>
      <c r="AA37" s="87"/>
      <c r="AB37" s="87"/>
      <c r="AC37" s="87"/>
      <c r="AD37" s="87"/>
      <c r="AE37" s="87"/>
      <c r="AF37" s="87"/>
      <c r="AG37" s="87"/>
      <c r="AH37" s="87"/>
      <c r="AI37" s="87"/>
      <c r="AJ37" s="87"/>
      <c r="AK37" s="87"/>
      <c r="AL37" s="87"/>
      <c r="AM37" s="87"/>
      <c r="AN37" s="87"/>
      <c r="AO37" s="87"/>
      <c r="AP37" s="87"/>
      <c r="AQ37" s="87"/>
      <c r="AR37" s="87"/>
      <c r="AS37" s="87"/>
    </row>
    <row r="38" spans="1:45">
      <c r="A38" s="87"/>
      <c r="B38" s="87"/>
      <c r="C38" s="87"/>
      <c r="D38" s="87"/>
      <c r="E38" s="87"/>
      <c r="F38" s="87"/>
      <c r="G38" s="87"/>
      <c r="H38" s="87"/>
      <c r="I38" s="87"/>
      <c r="J38" s="87"/>
      <c r="K38" s="87"/>
      <c r="L38" s="87"/>
      <c r="M38" s="87"/>
      <c r="N38" s="87"/>
      <c r="O38" s="87"/>
      <c r="P38" s="87"/>
      <c r="Q38" s="87"/>
      <c r="R38" s="87"/>
      <c r="S38" s="87"/>
      <c r="T38" s="87"/>
      <c r="U38" s="87"/>
      <c r="V38" s="87"/>
      <c r="W38" s="87"/>
      <c r="X38" s="87"/>
      <c r="Y38" s="87"/>
      <c r="Z38" s="87"/>
      <c r="AA38" s="87"/>
      <c r="AB38" s="87"/>
      <c r="AC38" s="87"/>
      <c r="AD38" s="87"/>
      <c r="AE38" s="87"/>
      <c r="AF38" s="87"/>
      <c r="AG38" s="87"/>
      <c r="AH38" s="87"/>
      <c r="AI38" s="87"/>
      <c r="AJ38" s="87"/>
      <c r="AK38" s="87"/>
      <c r="AL38" s="87"/>
      <c r="AM38" s="87"/>
      <c r="AN38" s="87"/>
      <c r="AO38" s="87"/>
      <c r="AP38" s="87"/>
      <c r="AQ38" s="87"/>
      <c r="AR38" s="87"/>
      <c r="AS38" s="87"/>
    </row>
    <row r="39" spans="1:45">
      <c r="A39" s="87"/>
      <c r="B39" s="87"/>
      <c r="C39" s="87"/>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row>
    <row r="40" spans="1:45">
      <c r="A40" s="87"/>
      <c r="B40" s="87"/>
      <c r="C40" s="87"/>
      <c r="D40" s="87"/>
      <c r="E40" s="87"/>
      <c r="F40" s="87"/>
      <c r="G40" s="87"/>
      <c r="H40" s="87"/>
      <c r="I40" s="87"/>
      <c r="J40" s="87"/>
      <c r="K40" s="87"/>
      <c r="L40" s="87"/>
      <c r="M40" s="87"/>
      <c r="N40" s="87"/>
      <c r="O40" s="87"/>
      <c r="P40" s="87"/>
      <c r="Q40" s="87"/>
      <c r="R40" s="87"/>
      <c r="S40" s="87"/>
      <c r="T40" s="87"/>
      <c r="U40" s="87"/>
      <c r="V40" s="87"/>
      <c r="W40" s="87"/>
      <c r="X40" s="87"/>
      <c r="Y40" s="87"/>
      <c r="Z40" s="87"/>
      <c r="AA40" s="87"/>
      <c r="AB40" s="87"/>
      <c r="AC40" s="87"/>
      <c r="AD40" s="87"/>
      <c r="AE40" s="87"/>
      <c r="AF40" s="87"/>
      <c r="AG40" s="87"/>
      <c r="AH40" s="87"/>
      <c r="AI40" s="87"/>
      <c r="AJ40" s="87"/>
      <c r="AK40" s="87"/>
      <c r="AL40" s="87"/>
      <c r="AM40" s="87"/>
      <c r="AN40" s="87"/>
      <c r="AO40" s="87"/>
      <c r="AP40" s="87"/>
      <c r="AQ40" s="87"/>
      <c r="AR40" s="87"/>
      <c r="AS40" s="87"/>
    </row>
    <row r="41" spans="1:45">
      <c r="A41" s="87"/>
      <c r="B41" s="87"/>
      <c r="C41" s="87"/>
      <c r="D41" s="87"/>
      <c r="E41" s="87"/>
      <c r="F41" s="87"/>
      <c r="G41" s="87"/>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row>
    <row r="42" spans="1:45">
      <c r="A42" s="87"/>
      <c r="B42" s="87"/>
      <c r="C42" s="87"/>
      <c r="D42" s="87"/>
      <c r="E42" s="87"/>
      <c r="F42" s="87"/>
      <c r="G42" s="87"/>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row>
    <row r="43" spans="1:45">
      <c r="A43" s="87"/>
      <c r="B43" s="87"/>
      <c r="C43" s="87"/>
      <c r="D43" s="87"/>
      <c r="E43" s="87"/>
      <c r="F43" s="87"/>
      <c r="G43" s="87"/>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c r="AP43" s="87"/>
      <c r="AQ43" s="87"/>
      <c r="AR43" s="87"/>
      <c r="AS43" s="87"/>
    </row>
    <row r="44" spans="1:45">
      <c r="A44" s="87"/>
      <c r="B44" s="87"/>
      <c r="C44" s="87"/>
      <c r="D44" s="87"/>
      <c r="E44" s="87"/>
      <c r="F44" s="87"/>
      <c r="G44" s="87"/>
      <c r="H44" s="87"/>
      <c r="I44" s="87"/>
      <c r="J44" s="87"/>
      <c r="K44" s="87"/>
      <c r="L44" s="87"/>
      <c r="M44" s="87"/>
      <c r="N44" s="87"/>
      <c r="O44" s="87"/>
      <c r="P44" s="87"/>
      <c r="Q44" s="87"/>
      <c r="R44" s="87"/>
      <c r="S44" s="87"/>
      <c r="T44" s="87"/>
      <c r="U44" s="87"/>
      <c r="V44" s="87"/>
      <c r="W44" s="87"/>
      <c r="X44" s="87"/>
      <c r="Y44" s="87"/>
      <c r="Z44" s="87"/>
      <c r="AA44" s="87"/>
      <c r="AB44" s="87"/>
      <c r="AC44" s="87"/>
      <c r="AD44" s="87"/>
      <c r="AE44" s="87"/>
      <c r="AF44" s="87"/>
      <c r="AG44" s="87"/>
      <c r="AH44" s="87"/>
      <c r="AI44" s="87"/>
      <c r="AJ44" s="87"/>
      <c r="AK44" s="87"/>
      <c r="AL44" s="87"/>
      <c r="AM44" s="87"/>
      <c r="AN44" s="87"/>
      <c r="AO44" s="87"/>
      <c r="AP44" s="87"/>
      <c r="AQ44" s="87"/>
      <c r="AR44" s="87"/>
      <c r="AS44" s="87"/>
    </row>
    <row r="45" spans="1:4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row>
    <row r="46" spans="1:4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row>
    <row r="47" spans="1:45">
      <c r="A47" s="87"/>
      <c r="B47" s="87"/>
      <c r="C47" s="87"/>
      <c r="D47" s="87"/>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87"/>
      <c r="AG47" s="87"/>
      <c r="AH47" s="87"/>
      <c r="AI47" s="87"/>
      <c r="AJ47" s="87"/>
      <c r="AK47" s="87"/>
      <c r="AL47" s="87"/>
      <c r="AM47" s="87"/>
      <c r="AN47" s="87"/>
      <c r="AO47" s="87"/>
      <c r="AP47" s="87"/>
      <c r="AQ47" s="87"/>
      <c r="AR47" s="87"/>
      <c r="AS47" s="87"/>
    </row>
    <row r="48" spans="1:45">
      <c r="A48" s="87"/>
      <c r="B48" s="87"/>
      <c r="C48" s="87"/>
      <c r="D48" s="87"/>
      <c r="E48" s="87"/>
      <c r="F48" s="87"/>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87"/>
      <c r="AG48" s="87"/>
      <c r="AH48" s="87"/>
      <c r="AI48" s="87"/>
      <c r="AJ48" s="87"/>
      <c r="AK48" s="87"/>
      <c r="AL48" s="87"/>
      <c r="AM48" s="87"/>
      <c r="AN48" s="87"/>
      <c r="AO48" s="87"/>
      <c r="AP48" s="87"/>
      <c r="AQ48" s="87"/>
      <c r="AR48" s="87"/>
      <c r="AS48" s="87"/>
    </row>
    <row r="49" spans="1:45">
      <c r="A49" s="87"/>
      <c r="B49" s="87"/>
      <c r="C49" s="87"/>
      <c r="D49" s="87"/>
      <c r="E49" s="87"/>
      <c r="F49" s="87"/>
      <c r="G49" s="87"/>
      <c r="H49" s="87"/>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7"/>
      <c r="AI49" s="87"/>
      <c r="AJ49" s="87"/>
      <c r="AK49" s="87"/>
      <c r="AL49" s="87"/>
      <c r="AM49" s="87"/>
      <c r="AN49" s="87"/>
      <c r="AO49" s="87"/>
      <c r="AP49" s="87"/>
      <c r="AQ49" s="87"/>
      <c r="AR49" s="87"/>
      <c r="AS49" s="87"/>
    </row>
    <row r="50" spans="1:45">
      <c r="A50" s="87"/>
      <c r="B50" s="87"/>
      <c r="C50" s="87"/>
      <c r="D50" s="87"/>
      <c r="E50" s="87"/>
      <c r="F50" s="87"/>
      <c r="G50" s="87"/>
      <c r="H50" s="87"/>
      <c r="I50" s="87"/>
      <c r="J50" s="87"/>
      <c r="K50" s="87"/>
      <c r="L50" s="87"/>
      <c r="M50" s="87"/>
      <c r="N50" s="87"/>
      <c r="O50" s="87"/>
      <c r="P50" s="87"/>
      <c r="Q50" s="87"/>
      <c r="R50" s="87"/>
      <c r="S50" s="87"/>
      <c r="T50" s="87"/>
      <c r="U50" s="87"/>
      <c r="V50" s="87"/>
      <c r="W50" s="87"/>
      <c r="X50" s="87"/>
      <c r="Y50" s="87"/>
      <c r="Z50" s="87"/>
      <c r="AA50" s="87"/>
      <c r="AB50" s="87"/>
      <c r="AC50" s="87"/>
      <c r="AD50" s="87"/>
      <c r="AE50" s="87"/>
      <c r="AF50" s="87"/>
      <c r="AG50" s="87"/>
      <c r="AH50" s="87"/>
      <c r="AI50" s="87"/>
      <c r="AJ50" s="87"/>
      <c r="AK50" s="87"/>
      <c r="AL50" s="87"/>
      <c r="AM50" s="87"/>
      <c r="AN50" s="87"/>
      <c r="AO50" s="87"/>
      <c r="AP50" s="87"/>
      <c r="AQ50" s="87"/>
      <c r="AR50" s="87"/>
      <c r="AS50" s="87"/>
    </row>
    <row r="51" spans="1:45">
      <c r="A51" s="87"/>
      <c r="B51" s="87"/>
      <c r="C51" s="87"/>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87"/>
      <c r="AH51" s="87"/>
      <c r="AI51" s="87"/>
      <c r="AJ51" s="87"/>
      <c r="AK51" s="87"/>
      <c r="AL51" s="87"/>
      <c r="AM51" s="87"/>
      <c r="AN51" s="87"/>
      <c r="AO51" s="87"/>
      <c r="AP51" s="87"/>
      <c r="AQ51" s="87"/>
      <c r="AR51" s="87"/>
      <c r="AS51" s="87"/>
    </row>
    <row r="52" spans="1:45">
      <c r="A52" s="87"/>
      <c r="B52" s="87"/>
      <c r="C52" s="87"/>
      <c r="D52" s="87"/>
      <c r="E52" s="87"/>
      <c r="F52" s="87"/>
      <c r="G52" s="87"/>
      <c r="H52" s="87"/>
      <c r="I52" s="87"/>
      <c r="J52" s="87"/>
      <c r="K52" s="87"/>
      <c r="L52" s="87"/>
      <c r="M52" s="87"/>
      <c r="N52" s="87"/>
      <c r="O52" s="87"/>
      <c r="P52" s="87"/>
      <c r="Q52" s="87"/>
      <c r="R52" s="87"/>
      <c r="S52" s="87"/>
      <c r="T52" s="87"/>
      <c r="U52" s="87"/>
      <c r="V52" s="87"/>
      <c r="W52" s="87"/>
      <c r="X52" s="87"/>
      <c r="Y52" s="87"/>
      <c r="Z52" s="87"/>
      <c r="AA52" s="87"/>
      <c r="AB52" s="87"/>
      <c r="AC52" s="87"/>
      <c r="AD52" s="87"/>
      <c r="AE52" s="87"/>
      <c r="AF52" s="87"/>
      <c r="AG52" s="87"/>
      <c r="AH52" s="87"/>
      <c r="AI52" s="87"/>
      <c r="AJ52" s="87"/>
      <c r="AK52" s="87"/>
      <c r="AL52" s="87"/>
      <c r="AM52" s="87"/>
      <c r="AN52" s="87"/>
      <c r="AO52" s="87"/>
      <c r="AP52" s="87"/>
      <c r="AQ52" s="87"/>
      <c r="AR52" s="87"/>
      <c r="AS52" s="87"/>
    </row>
    <row r="53" spans="1:45">
      <c r="A53" s="87"/>
      <c r="B53" s="87"/>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7"/>
      <c r="AR53" s="87"/>
      <c r="AS53" s="87"/>
    </row>
    <row r="54" spans="1:45">
      <c r="A54" s="87"/>
      <c r="B54" s="87"/>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row>
    <row r="55" spans="1:45">
      <c r="A55" s="87"/>
      <c r="B55" s="87"/>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c r="AH55" s="87"/>
      <c r="AI55" s="87"/>
      <c r="AJ55" s="87"/>
      <c r="AK55" s="87"/>
      <c r="AL55" s="87"/>
      <c r="AM55" s="87"/>
      <c r="AN55" s="87"/>
      <c r="AO55" s="87"/>
      <c r="AP55" s="87"/>
      <c r="AQ55" s="87"/>
      <c r="AR55" s="87"/>
      <c r="AS55" s="87"/>
    </row>
    <row r="56" spans="1:45">
      <c r="A56" s="87"/>
      <c r="B56" s="87"/>
      <c r="C56" s="87"/>
      <c r="D56" s="87"/>
      <c r="E56" s="87"/>
      <c r="F56" s="87"/>
      <c r="G56" s="87"/>
      <c r="H56" s="87"/>
      <c r="I56" s="87"/>
      <c r="J56" s="87"/>
      <c r="K56" s="87"/>
      <c r="L56" s="87"/>
      <c r="M56" s="87"/>
      <c r="N56" s="87"/>
      <c r="O56" s="87"/>
      <c r="P56" s="87"/>
      <c r="Q56" s="87"/>
      <c r="R56" s="87"/>
      <c r="S56" s="87"/>
      <c r="T56" s="87"/>
      <c r="U56" s="87"/>
      <c r="V56" s="87"/>
      <c r="W56" s="87"/>
      <c r="X56" s="87"/>
      <c r="Y56" s="87"/>
      <c r="Z56" s="87"/>
      <c r="AA56" s="87"/>
      <c r="AB56" s="87"/>
      <c r="AC56" s="87"/>
      <c r="AD56" s="87"/>
      <c r="AE56" s="87"/>
      <c r="AF56" s="87"/>
      <c r="AG56" s="87"/>
      <c r="AH56" s="87"/>
      <c r="AI56" s="87"/>
      <c r="AJ56" s="87"/>
      <c r="AK56" s="87"/>
      <c r="AL56" s="87"/>
      <c r="AM56" s="87"/>
      <c r="AN56" s="87"/>
      <c r="AO56" s="87"/>
      <c r="AP56" s="87"/>
      <c r="AQ56" s="87"/>
      <c r="AR56" s="87"/>
      <c r="AS56" s="87"/>
    </row>
    <row r="57" spans="1:45">
      <c r="A57" s="87"/>
      <c r="B57" s="87"/>
      <c r="C57" s="87"/>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row>
    <row r="58" spans="1:45">
      <c r="A58" s="87"/>
      <c r="B58" s="87"/>
      <c r="C58" s="87"/>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c r="AP58" s="87"/>
      <c r="AQ58" s="87"/>
      <c r="AR58" s="87"/>
      <c r="AS58" s="87"/>
    </row>
    <row r="59" spans="1:45">
      <c r="A59" s="87"/>
      <c r="B59" s="87"/>
      <c r="C59" s="87"/>
      <c r="D59" s="87"/>
      <c r="E59" s="87"/>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c r="AE59" s="87"/>
      <c r="AF59" s="87"/>
      <c r="AG59" s="87"/>
      <c r="AH59" s="87"/>
      <c r="AI59" s="87"/>
      <c r="AJ59" s="87"/>
      <c r="AK59" s="87"/>
      <c r="AL59" s="87"/>
      <c r="AM59" s="87"/>
      <c r="AN59" s="87"/>
      <c r="AO59" s="87"/>
      <c r="AP59" s="87"/>
      <c r="AQ59" s="87"/>
      <c r="AR59" s="87"/>
      <c r="AS59" s="87"/>
    </row>
    <row r="60" spans="1:45">
      <c r="A60" s="87"/>
      <c r="B60" s="87"/>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row>
    <row r="61" spans="1:45">
      <c r="A61" s="87"/>
      <c r="B61" s="87"/>
      <c r="C61" s="87"/>
      <c r="D61" s="87"/>
      <c r="E61" s="87"/>
      <c r="F61" s="87"/>
      <c r="G61" s="87"/>
      <c r="H61" s="87"/>
      <c r="I61" s="87"/>
      <c r="J61" s="87"/>
      <c r="K61" s="87"/>
      <c r="L61" s="87"/>
      <c r="M61" s="87"/>
      <c r="N61" s="87"/>
      <c r="O61" s="87"/>
      <c r="P61" s="87"/>
      <c r="Q61" s="87"/>
      <c r="R61" s="87"/>
      <c r="S61" s="87"/>
      <c r="T61" s="87"/>
      <c r="U61" s="87"/>
      <c r="V61" s="87"/>
      <c r="W61" s="87"/>
      <c r="X61" s="87"/>
      <c r="Y61" s="87"/>
      <c r="Z61" s="87"/>
      <c r="AA61" s="87"/>
      <c r="AB61" s="87"/>
      <c r="AC61" s="87"/>
      <c r="AD61" s="87"/>
      <c r="AE61" s="87"/>
      <c r="AF61" s="87"/>
      <c r="AG61" s="87"/>
      <c r="AH61" s="87"/>
      <c r="AI61" s="87"/>
      <c r="AJ61" s="87"/>
      <c r="AK61" s="87"/>
      <c r="AL61" s="87"/>
      <c r="AM61" s="87"/>
      <c r="AN61" s="87"/>
      <c r="AO61" s="87"/>
      <c r="AP61" s="87"/>
      <c r="AQ61" s="87"/>
      <c r="AR61" s="87"/>
      <c r="AS61" s="87"/>
    </row>
    <row r="62" spans="1:45">
      <c r="A62" s="87"/>
      <c r="B62" s="87"/>
      <c r="C62" s="87"/>
      <c r="D62" s="87"/>
      <c r="E62" s="87"/>
      <c r="F62" s="87"/>
      <c r="G62" s="87"/>
      <c r="H62" s="87"/>
      <c r="I62" s="87"/>
      <c r="J62" s="87"/>
      <c r="K62" s="87"/>
      <c r="L62" s="87"/>
      <c r="M62" s="87"/>
      <c r="N62" s="87"/>
      <c r="O62" s="87"/>
      <c r="P62" s="87"/>
      <c r="Q62" s="87"/>
      <c r="R62" s="87"/>
      <c r="S62" s="87"/>
      <c r="T62" s="87"/>
      <c r="U62" s="87"/>
      <c r="V62" s="87"/>
      <c r="W62" s="87"/>
      <c r="X62" s="87"/>
      <c r="Y62" s="87"/>
      <c r="Z62" s="87"/>
      <c r="AA62" s="87"/>
      <c r="AB62" s="87"/>
      <c r="AC62" s="87"/>
      <c r="AD62" s="87"/>
      <c r="AE62" s="87"/>
      <c r="AF62" s="87"/>
      <c r="AG62" s="87"/>
      <c r="AH62" s="87"/>
      <c r="AI62" s="87"/>
      <c r="AJ62" s="87"/>
      <c r="AK62" s="87"/>
      <c r="AL62" s="87"/>
      <c r="AM62" s="87"/>
      <c r="AN62" s="87"/>
      <c r="AO62" s="87"/>
      <c r="AP62" s="87"/>
      <c r="AQ62" s="87"/>
      <c r="AR62" s="87"/>
      <c r="AS62" s="87"/>
    </row>
    <row r="63" spans="1:45">
      <c r="A63" s="87"/>
      <c r="B63" s="87"/>
      <c r="C63" s="87"/>
      <c r="D63" s="87"/>
      <c r="E63" s="87"/>
      <c r="F63" s="87"/>
      <c r="G63" s="87"/>
      <c r="H63" s="87"/>
      <c r="I63" s="87"/>
      <c r="J63" s="87"/>
      <c r="K63" s="87"/>
      <c r="L63" s="87"/>
      <c r="M63" s="87"/>
      <c r="N63" s="87"/>
      <c r="O63" s="87"/>
      <c r="P63" s="87"/>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S63" s="87"/>
    </row>
    <row r="64" spans="1:45">
      <c r="A64" s="87"/>
      <c r="B64" s="87"/>
      <c r="C64" s="87"/>
      <c r="D64" s="87"/>
      <c r="E64" s="87"/>
      <c r="F64" s="87"/>
      <c r="G64" s="87"/>
      <c r="H64" s="87"/>
      <c r="I64" s="87"/>
      <c r="J64" s="87"/>
      <c r="K64" s="87"/>
      <c r="L64" s="87"/>
      <c r="M64" s="87"/>
      <c r="N64" s="87"/>
      <c r="O64" s="87"/>
      <c r="P64" s="87"/>
      <c r="Q64" s="87"/>
      <c r="R64" s="87"/>
      <c r="S64" s="87"/>
      <c r="T64" s="87"/>
      <c r="U64" s="87"/>
      <c r="V64" s="87"/>
      <c r="W64" s="87"/>
      <c r="X64" s="87"/>
      <c r="Y64" s="87"/>
      <c r="Z64" s="87"/>
      <c r="AA64" s="87"/>
      <c r="AB64" s="87"/>
      <c r="AC64" s="87"/>
      <c r="AD64" s="87"/>
      <c r="AE64" s="87"/>
      <c r="AF64" s="87"/>
      <c r="AG64" s="87"/>
      <c r="AH64" s="87"/>
      <c r="AI64" s="87"/>
      <c r="AJ64" s="87"/>
      <c r="AK64" s="87"/>
      <c r="AL64" s="87"/>
      <c r="AM64" s="87"/>
      <c r="AN64" s="87"/>
      <c r="AO64" s="87"/>
      <c r="AP64" s="87"/>
      <c r="AQ64" s="87"/>
      <c r="AR64" s="87"/>
      <c r="AS64" s="87"/>
    </row>
    <row r="65" spans="1:45">
      <c r="A65" s="87"/>
      <c r="B65" s="87"/>
      <c r="C65" s="87"/>
      <c r="D65" s="87"/>
      <c r="E65" s="87"/>
      <c r="F65" s="87"/>
      <c r="G65" s="87"/>
      <c r="H65" s="87"/>
      <c r="I65" s="87"/>
      <c r="J65" s="87"/>
      <c r="K65" s="87"/>
      <c r="L65" s="87"/>
      <c r="M65" s="87"/>
      <c r="N65" s="87"/>
      <c r="O65" s="87"/>
      <c r="P65" s="87"/>
      <c r="Q65" s="87"/>
      <c r="R65" s="87"/>
      <c r="S65" s="87"/>
      <c r="T65" s="87"/>
      <c r="U65" s="87"/>
      <c r="V65" s="87"/>
      <c r="W65" s="87"/>
      <c r="X65" s="87"/>
      <c r="Y65" s="87"/>
      <c r="Z65" s="87"/>
      <c r="AA65" s="87"/>
      <c r="AB65" s="87"/>
      <c r="AC65" s="87"/>
      <c r="AD65" s="87"/>
      <c r="AE65" s="87"/>
      <c r="AF65" s="87"/>
      <c r="AG65" s="87"/>
      <c r="AH65" s="87"/>
      <c r="AI65" s="87"/>
      <c r="AJ65" s="87"/>
      <c r="AK65" s="87"/>
      <c r="AL65" s="87"/>
      <c r="AM65" s="87"/>
      <c r="AN65" s="87"/>
      <c r="AO65" s="87"/>
      <c r="AP65" s="87"/>
      <c r="AQ65" s="87"/>
      <c r="AR65" s="87"/>
      <c r="AS65" s="87"/>
    </row>
    <row r="66" spans="1:45">
      <c r="A66" s="87"/>
      <c r="B66" s="87"/>
      <c r="C66" s="87"/>
      <c r="D66" s="87"/>
      <c r="E66" s="87"/>
      <c r="F66" s="8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87"/>
    </row>
    <row r="67" spans="1:45">
      <c r="A67" s="87"/>
      <c r="B67" s="87"/>
      <c r="C67" s="87"/>
      <c r="D67" s="87"/>
      <c r="E67" s="87"/>
      <c r="F67" s="87"/>
      <c r="G67" s="87"/>
      <c r="H67" s="87"/>
      <c r="I67" s="87"/>
      <c r="J67" s="87"/>
      <c r="K67" s="87"/>
      <c r="L67" s="87"/>
      <c r="M67" s="87"/>
      <c r="N67" s="87"/>
      <c r="O67" s="87"/>
      <c r="P67" s="87"/>
      <c r="Q67" s="87"/>
      <c r="R67" s="87"/>
      <c r="S67" s="87"/>
      <c r="T67" s="87"/>
      <c r="U67" s="87"/>
      <c r="V67" s="87"/>
      <c r="W67" s="87"/>
      <c r="X67" s="87"/>
      <c r="Y67" s="87"/>
      <c r="Z67" s="87"/>
      <c r="AA67" s="87"/>
      <c r="AB67" s="87"/>
      <c r="AC67" s="87"/>
      <c r="AD67" s="87"/>
      <c r="AE67" s="87"/>
      <c r="AF67" s="87"/>
      <c r="AG67" s="87"/>
      <c r="AH67" s="87"/>
      <c r="AI67" s="87"/>
      <c r="AJ67" s="87"/>
      <c r="AK67" s="87"/>
      <c r="AL67" s="87"/>
      <c r="AM67" s="87"/>
      <c r="AN67" s="87"/>
      <c r="AO67" s="87"/>
      <c r="AP67" s="87"/>
      <c r="AQ67" s="87"/>
      <c r="AR67" s="87"/>
      <c r="AS67" s="87"/>
    </row>
    <row r="68" spans="1:45">
      <c r="A68" s="87"/>
      <c r="B68" s="87"/>
      <c r="C68" s="87"/>
      <c r="D68" s="87"/>
      <c r="E68" s="87"/>
      <c r="F68" s="87"/>
      <c r="G68" s="87"/>
      <c r="H68" s="87"/>
      <c r="I68" s="87"/>
      <c r="J68" s="87"/>
      <c r="K68" s="87"/>
      <c r="L68" s="87"/>
      <c r="M68" s="87"/>
      <c r="N68" s="87"/>
      <c r="O68" s="87"/>
      <c r="P68" s="87"/>
      <c r="Q68" s="87"/>
      <c r="R68" s="87"/>
      <c r="S68" s="87"/>
      <c r="T68" s="87"/>
      <c r="U68" s="87"/>
      <c r="V68" s="87"/>
      <c r="W68" s="87"/>
      <c r="X68" s="87"/>
      <c r="Y68" s="87"/>
      <c r="Z68" s="87"/>
      <c r="AA68" s="87"/>
      <c r="AB68" s="87"/>
      <c r="AC68" s="87"/>
      <c r="AD68" s="87"/>
      <c r="AE68" s="87"/>
      <c r="AF68" s="87"/>
      <c r="AG68" s="87"/>
      <c r="AH68" s="87"/>
      <c r="AI68" s="87"/>
      <c r="AJ68" s="87"/>
      <c r="AK68" s="87"/>
      <c r="AL68" s="87"/>
      <c r="AM68" s="87"/>
      <c r="AN68" s="87"/>
      <c r="AO68" s="87"/>
      <c r="AP68" s="87"/>
      <c r="AQ68" s="87"/>
      <c r="AR68" s="87"/>
      <c r="AS68" s="87"/>
    </row>
    <row r="69" spans="1:45">
      <c r="A69" s="87"/>
      <c r="B69" s="87"/>
      <c r="C69" s="87"/>
      <c r="D69" s="87"/>
      <c r="E69" s="87"/>
      <c r="F69" s="87"/>
      <c r="G69" s="87"/>
      <c r="H69" s="87"/>
      <c r="I69" s="87"/>
      <c r="J69" s="87"/>
      <c r="K69" s="87"/>
      <c r="L69" s="87"/>
      <c r="M69" s="87"/>
      <c r="N69" s="87"/>
      <c r="O69" s="87"/>
      <c r="P69" s="87"/>
      <c r="Q69" s="87"/>
      <c r="R69" s="87"/>
      <c r="S69" s="87"/>
      <c r="T69" s="87"/>
      <c r="U69" s="87"/>
      <c r="V69" s="87"/>
      <c r="W69" s="87"/>
      <c r="X69" s="87"/>
      <c r="Y69" s="87"/>
      <c r="Z69" s="87"/>
      <c r="AA69" s="87"/>
      <c r="AB69" s="87"/>
      <c r="AC69" s="87"/>
      <c r="AD69" s="87"/>
      <c r="AE69" s="87"/>
      <c r="AF69" s="87"/>
      <c r="AG69" s="87"/>
      <c r="AH69" s="87"/>
      <c r="AI69" s="87"/>
      <c r="AJ69" s="87"/>
      <c r="AK69" s="87"/>
      <c r="AL69" s="87"/>
      <c r="AM69" s="87"/>
      <c r="AN69" s="87"/>
      <c r="AO69" s="87"/>
      <c r="AP69" s="87"/>
      <c r="AQ69" s="87"/>
      <c r="AR69" s="87"/>
      <c r="AS69" s="87"/>
    </row>
    <row r="70" spans="1:45">
      <c r="A70" s="87"/>
      <c r="B70" s="87"/>
      <c r="C70" s="87"/>
      <c r="D70" s="87"/>
      <c r="E70" s="87"/>
      <c r="F70" s="87"/>
      <c r="G70" s="87"/>
      <c r="H70" s="87"/>
      <c r="I70" s="87"/>
      <c r="J70" s="87"/>
      <c r="K70" s="87"/>
      <c r="L70" s="87"/>
      <c r="M70" s="87"/>
      <c r="N70" s="87"/>
      <c r="O70" s="87"/>
      <c r="P70" s="87"/>
      <c r="Q70" s="87"/>
      <c r="R70" s="87"/>
      <c r="S70" s="87"/>
      <c r="T70" s="87"/>
      <c r="U70" s="87"/>
      <c r="V70" s="87"/>
      <c r="W70" s="87"/>
      <c r="X70" s="87"/>
      <c r="Y70" s="87"/>
      <c r="Z70" s="87"/>
      <c r="AA70" s="87"/>
      <c r="AB70" s="87"/>
      <c r="AC70" s="87"/>
      <c r="AD70" s="87"/>
      <c r="AE70" s="87"/>
      <c r="AF70" s="87"/>
      <c r="AG70" s="87"/>
      <c r="AH70" s="87"/>
      <c r="AI70" s="87"/>
      <c r="AJ70" s="87"/>
      <c r="AK70" s="87"/>
      <c r="AL70" s="87"/>
      <c r="AM70" s="87"/>
      <c r="AN70" s="87"/>
      <c r="AO70" s="87"/>
      <c r="AP70" s="87"/>
      <c r="AQ70" s="87"/>
      <c r="AR70" s="87"/>
      <c r="AS70" s="87"/>
    </row>
    <row r="71" spans="1:45">
      <c r="A71" s="87"/>
      <c r="B71" s="87"/>
      <c r="C71" s="87"/>
      <c r="D71" s="87"/>
      <c r="E71" s="87"/>
      <c r="F71" s="87"/>
      <c r="G71" s="87"/>
      <c r="H71" s="87"/>
      <c r="I71" s="87"/>
      <c r="J71" s="87"/>
      <c r="K71" s="87"/>
      <c r="L71" s="87"/>
      <c r="M71" s="87"/>
      <c r="N71" s="87"/>
      <c r="O71" s="87"/>
      <c r="P71" s="87"/>
      <c r="Q71" s="87"/>
      <c r="R71" s="87"/>
      <c r="S71" s="87"/>
      <c r="T71" s="87"/>
      <c r="U71" s="87"/>
      <c r="V71" s="87"/>
      <c r="W71" s="87"/>
      <c r="X71" s="87"/>
      <c r="Y71" s="87"/>
      <c r="Z71" s="87"/>
      <c r="AA71" s="87"/>
      <c r="AB71" s="87"/>
      <c r="AC71" s="87"/>
      <c r="AD71" s="87"/>
      <c r="AE71" s="87"/>
      <c r="AF71" s="87"/>
      <c r="AG71" s="87"/>
      <c r="AH71" s="87"/>
      <c r="AI71" s="87"/>
      <c r="AJ71" s="87"/>
      <c r="AK71" s="87"/>
      <c r="AL71" s="87"/>
      <c r="AM71" s="87"/>
      <c r="AN71" s="87"/>
      <c r="AO71" s="87"/>
      <c r="AP71" s="87"/>
      <c r="AQ71" s="87"/>
      <c r="AR71" s="87"/>
      <c r="AS71" s="87"/>
    </row>
    <row r="72" spans="1:45">
      <c r="A72" s="87"/>
      <c r="B72" s="87"/>
      <c r="C72" s="87"/>
      <c r="D72" s="87"/>
      <c r="E72" s="87"/>
      <c r="F72" s="87"/>
      <c r="G72" s="87"/>
      <c r="H72" s="87"/>
      <c r="I72" s="87"/>
      <c r="J72" s="87"/>
      <c r="K72" s="87"/>
      <c r="L72" s="87"/>
      <c r="M72" s="87"/>
      <c r="N72" s="87"/>
      <c r="O72" s="87"/>
      <c r="P72" s="87"/>
      <c r="Q72" s="87"/>
      <c r="R72" s="87"/>
      <c r="S72" s="87"/>
      <c r="T72" s="87"/>
      <c r="U72" s="87"/>
      <c r="V72" s="87"/>
      <c r="W72" s="87"/>
      <c r="X72" s="87"/>
      <c r="Y72" s="87"/>
      <c r="Z72" s="87"/>
      <c r="AA72" s="87"/>
      <c r="AB72" s="87"/>
      <c r="AC72" s="87"/>
      <c r="AD72" s="87"/>
      <c r="AE72" s="87"/>
      <c r="AF72" s="87"/>
      <c r="AG72" s="87"/>
      <c r="AH72" s="87"/>
      <c r="AI72" s="87"/>
      <c r="AJ72" s="87"/>
      <c r="AK72" s="87"/>
      <c r="AL72" s="87"/>
      <c r="AM72" s="87"/>
      <c r="AN72" s="87"/>
      <c r="AO72" s="87"/>
      <c r="AP72" s="87"/>
      <c r="AQ72" s="87"/>
      <c r="AR72" s="87"/>
      <c r="AS72" s="87"/>
    </row>
    <row r="73" spans="1:45">
      <c r="A73" s="87"/>
      <c r="B73" s="87"/>
      <c r="C73" s="87"/>
      <c r="D73" s="87"/>
      <c r="E73" s="87"/>
      <c r="F73" s="87"/>
      <c r="G73" s="87"/>
      <c r="H73" s="87"/>
      <c r="I73" s="87"/>
      <c r="J73" s="87"/>
      <c r="K73" s="87"/>
      <c r="L73" s="87"/>
      <c r="M73" s="87"/>
      <c r="N73" s="87"/>
      <c r="O73" s="87"/>
      <c r="P73" s="87"/>
      <c r="Q73" s="87"/>
      <c r="R73" s="87"/>
      <c r="S73" s="87"/>
      <c r="T73" s="87"/>
      <c r="U73" s="87"/>
      <c r="V73" s="87"/>
      <c r="W73" s="87"/>
      <c r="X73" s="87"/>
      <c r="Y73" s="87"/>
      <c r="Z73" s="87"/>
      <c r="AA73" s="87"/>
      <c r="AB73" s="87"/>
      <c r="AC73" s="87"/>
      <c r="AD73" s="87"/>
      <c r="AE73" s="87"/>
      <c r="AF73" s="87"/>
      <c r="AG73" s="87"/>
      <c r="AH73" s="87"/>
      <c r="AI73" s="87"/>
      <c r="AJ73" s="87"/>
      <c r="AK73" s="87"/>
      <c r="AL73" s="87"/>
      <c r="AM73" s="87"/>
      <c r="AN73" s="87"/>
      <c r="AO73" s="87"/>
      <c r="AP73" s="87"/>
      <c r="AQ73" s="87"/>
      <c r="AR73" s="87"/>
      <c r="AS73" s="87"/>
    </row>
    <row r="74" spans="1:45">
      <c r="A74" s="87"/>
      <c r="B74" s="87"/>
      <c r="C74" s="87"/>
      <c r="D74" s="87"/>
      <c r="E74" s="87"/>
      <c r="F74" s="87"/>
      <c r="G74" s="87"/>
      <c r="H74" s="87"/>
      <c r="I74" s="87"/>
      <c r="J74" s="87"/>
      <c r="K74" s="87"/>
      <c r="L74" s="87"/>
      <c r="M74" s="87"/>
      <c r="N74" s="87"/>
      <c r="O74" s="87"/>
      <c r="P74" s="87"/>
      <c r="Q74" s="87"/>
      <c r="R74" s="87"/>
      <c r="S74" s="87"/>
      <c r="T74" s="87"/>
      <c r="U74" s="87"/>
      <c r="V74" s="87"/>
      <c r="W74" s="87"/>
      <c r="X74" s="87"/>
      <c r="Y74" s="87"/>
      <c r="Z74" s="87"/>
      <c r="AA74" s="87"/>
      <c r="AB74" s="87"/>
      <c r="AC74" s="87"/>
      <c r="AD74" s="87"/>
      <c r="AE74" s="87"/>
      <c r="AF74" s="87"/>
      <c r="AG74" s="87"/>
      <c r="AH74" s="87"/>
      <c r="AI74" s="87"/>
      <c r="AJ74" s="87"/>
      <c r="AK74" s="87"/>
      <c r="AL74" s="87"/>
      <c r="AM74" s="87"/>
      <c r="AN74" s="87"/>
      <c r="AO74" s="87"/>
      <c r="AP74" s="87"/>
      <c r="AQ74" s="87"/>
      <c r="AR74" s="87"/>
      <c r="AS74" s="87"/>
    </row>
    <row r="75" spans="1:45">
      <c r="A75" s="87"/>
      <c r="B75" s="87"/>
      <c r="C75" s="87"/>
      <c r="D75" s="87"/>
      <c r="E75" s="87"/>
      <c r="F75" s="87"/>
      <c r="G75" s="87"/>
      <c r="H75" s="87"/>
      <c r="I75" s="87"/>
      <c r="J75" s="87"/>
      <c r="K75" s="87"/>
      <c r="L75" s="87"/>
      <c r="M75" s="87"/>
      <c r="N75" s="87"/>
      <c r="O75" s="87"/>
      <c r="P75" s="87"/>
      <c r="Q75" s="87"/>
      <c r="R75" s="87"/>
      <c r="S75" s="87"/>
      <c r="T75" s="87"/>
      <c r="U75" s="87"/>
      <c r="V75" s="87"/>
      <c r="W75" s="87"/>
      <c r="X75" s="87"/>
      <c r="Y75" s="87"/>
      <c r="Z75" s="87"/>
      <c r="AA75" s="87"/>
      <c r="AB75" s="87"/>
      <c r="AC75" s="87"/>
      <c r="AD75" s="87"/>
      <c r="AE75" s="87"/>
      <c r="AF75" s="87"/>
      <c r="AG75" s="87"/>
      <c r="AH75" s="87"/>
      <c r="AI75" s="87"/>
      <c r="AJ75" s="87"/>
      <c r="AK75" s="87"/>
      <c r="AL75" s="87"/>
      <c r="AM75" s="87"/>
      <c r="AN75" s="87"/>
      <c r="AO75" s="87"/>
      <c r="AP75" s="87"/>
      <c r="AQ75" s="87"/>
      <c r="AR75" s="87"/>
      <c r="AS75" s="87"/>
    </row>
    <row r="76" spans="1:45">
      <c r="A76" s="87"/>
      <c r="B76" s="87"/>
      <c r="C76" s="87"/>
      <c r="D76" s="87"/>
      <c r="E76" s="87"/>
      <c r="F76" s="87"/>
      <c r="G76" s="87"/>
      <c r="H76" s="87"/>
      <c r="I76" s="87"/>
      <c r="J76" s="87"/>
      <c r="K76" s="87"/>
      <c r="L76" s="87"/>
      <c r="M76" s="87"/>
      <c r="N76" s="87"/>
      <c r="O76" s="87"/>
      <c r="P76" s="87"/>
      <c r="Q76" s="87"/>
      <c r="R76" s="87"/>
      <c r="S76" s="87"/>
      <c r="T76" s="87"/>
      <c r="U76" s="87"/>
      <c r="V76" s="87"/>
      <c r="W76" s="87"/>
      <c r="X76" s="87"/>
      <c r="Y76" s="87"/>
      <c r="Z76" s="87"/>
      <c r="AA76" s="87"/>
      <c r="AB76" s="87"/>
      <c r="AC76" s="87"/>
      <c r="AD76" s="87"/>
      <c r="AE76" s="87"/>
      <c r="AF76" s="87"/>
      <c r="AG76" s="87"/>
      <c r="AH76" s="87"/>
      <c r="AI76" s="87"/>
      <c r="AJ76" s="87"/>
      <c r="AK76" s="87"/>
      <c r="AL76" s="87"/>
      <c r="AM76" s="87"/>
      <c r="AN76" s="87"/>
      <c r="AO76" s="87"/>
      <c r="AP76" s="87"/>
      <c r="AQ76" s="87"/>
      <c r="AR76" s="87"/>
      <c r="AS76" s="87"/>
    </row>
    <row r="77" spans="1:45">
      <c r="A77" s="87"/>
      <c r="B77" s="87"/>
      <c r="C77" s="87"/>
      <c r="D77" s="87"/>
      <c r="E77" s="87"/>
      <c r="F77" s="87"/>
      <c r="G77" s="87"/>
      <c r="H77" s="87"/>
      <c r="I77" s="87"/>
      <c r="J77" s="87"/>
      <c r="K77" s="87"/>
      <c r="L77" s="87"/>
      <c r="M77" s="87"/>
      <c r="N77" s="87"/>
      <c r="O77" s="87"/>
      <c r="P77" s="87"/>
      <c r="Q77" s="87"/>
      <c r="R77" s="87"/>
      <c r="S77" s="87"/>
      <c r="T77" s="87"/>
      <c r="U77" s="87"/>
      <c r="V77" s="87"/>
      <c r="W77" s="87"/>
      <c r="X77" s="87"/>
      <c r="Y77" s="87"/>
      <c r="Z77" s="87"/>
      <c r="AA77" s="87"/>
      <c r="AB77" s="87"/>
      <c r="AC77" s="87"/>
      <c r="AD77" s="87"/>
      <c r="AE77" s="87"/>
      <c r="AF77" s="87"/>
      <c r="AG77" s="87"/>
      <c r="AH77" s="87"/>
      <c r="AI77" s="87"/>
      <c r="AJ77" s="87"/>
      <c r="AK77" s="87"/>
      <c r="AL77" s="87"/>
      <c r="AM77" s="87"/>
      <c r="AN77" s="87"/>
      <c r="AO77" s="87"/>
      <c r="AP77" s="87"/>
      <c r="AQ77" s="87"/>
      <c r="AR77" s="87"/>
      <c r="AS77" s="87"/>
    </row>
    <row r="78" spans="1:45">
      <c r="A78" s="87"/>
      <c r="B78" s="87"/>
      <c r="C78" s="87"/>
      <c r="D78" s="87"/>
      <c r="E78" s="87"/>
      <c r="F78" s="87"/>
      <c r="G78" s="87"/>
      <c r="H78" s="87"/>
      <c r="I78" s="87"/>
      <c r="J78" s="87"/>
      <c r="K78" s="87"/>
      <c r="L78" s="87"/>
      <c r="M78" s="87"/>
      <c r="N78" s="87"/>
      <c r="O78" s="87"/>
      <c r="P78" s="87"/>
      <c r="Q78" s="87"/>
      <c r="R78" s="87"/>
      <c r="S78" s="87"/>
      <c r="T78" s="87"/>
      <c r="U78" s="87"/>
      <c r="V78" s="87"/>
      <c r="W78" s="87"/>
      <c r="X78" s="87"/>
      <c r="Y78" s="87"/>
      <c r="Z78" s="87"/>
      <c r="AA78" s="87"/>
      <c r="AB78" s="87"/>
      <c r="AC78" s="87"/>
      <c r="AD78" s="87"/>
      <c r="AE78" s="87"/>
      <c r="AF78" s="87"/>
      <c r="AG78" s="87"/>
      <c r="AH78" s="87"/>
      <c r="AI78" s="87"/>
      <c r="AJ78" s="87"/>
      <c r="AK78" s="87"/>
      <c r="AL78" s="87"/>
      <c r="AM78" s="87"/>
      <c r="AN78" s="87"/>
      <c r="AO78" s="87"/>
      <c r="AP78" s="87"/>
      <c r="AQ78" s="87"/>
      <c r="AR78" s="87"/>
      <c r="AS78" s="87"/>
    </row>
    <row r="79" spans="1:45">
      <c r="A79" s="87"/>
      <c r="B79" s="87"/>
      <c r="C79" s="87"/>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7"/>
      <c r="AD79" s="87"/>
      <c r="AE79" s="87"/>
      <c r="AF79" s="87"/>
      <c r="AG79" s="87"/>
      <c r="AH79" s="87"/>
      <c r="AI79" s="87"/>
      <c r="AJ79" s="87"/>
      <c r="AK79" s="87"/>
      <c r="AL79" s="87"/>
      <c r="AM79" s="87"/>
      <c r="AN79" s="87"/>
      <c r="AO79" s="87"/>
      <c r="AP79" s="87"/>
      <c r="AQ79" s="87"/>
      <c r="AR79" s="87"/>
      <c r="AS79" s="87"/>
    </row>
    <row r="80" spans="1:45">
      <c r="A80" s="87"/>
      <c r="B80" s="87"/>
      <c r="C80" s="87"/>
      <c r="D80" s="87"/>
      <c r="E80" s="87"/>
      <c r="F80" s="87"/>
      <c r="G80" s="87"/>
      <c r="H80" s="87"/>
      <c r="I80" s="87"/>
      <c r="J80" s="87"/>
      <c r="K80" s="87"/>
      <c r="L80" s="87"/>
      <c r="M80" s="87"/>
      <c r="N80" s="87"/>
      <c r="O80" s="87"/>
      <c r="P80" s="87"/>
      <c r="Q80" s="87"/>
      <c r="R80" s="87"/>
      <c r="S80" s="87"/>
      <c r="T80" s="87"/>
      <c r="U80" s="87"/>
      <c r="V80" s="87"/>
      <c r="W80" s="87"/>
      <c r="X80" s="87"/>
      <c r="Y80" s="87"/>
      <c r="Z80" s="87"/>
      <c r="AA80" s="87"/>
      <c r="AB80" s="87"/>
      <c r="AC80" s="87"/>
      <c r="AD80" s="87"/>
      <c r="AE80" s="87"/>
      <c r="AF80" s="87"/>
      <c r="AG80" s="87"/>
      <c r="AH80" s="87"/>
      <c r="AI80" s="87"/>
      <c r="AJ80" s="87"/>
      <c r="AK80" s="87"/>
      <c r="AL80" s="87"/>
      <c r="AM80" s="87"/>
      <c r="AN80" s="87"/>
      <c r="AO80" s="87"/>
      <c r="AP80" s="87"/>
      <c r="AQ80" s="87"/>
      <c r="AR80" s="87"/>
      <c r="AS80" s="87"/>
    </row>
    <row r="81" spans="1:45">
      <c r="A81" s="87"/>
      <c r="B81" s="87"/>
      <c r="C81" s="87"/>
      <c r="D81" s="87"/>
      <c r="E81" s="87"/>
      <c r="F81" s="87"/>
      <c r="G81" s="87"/>
      <c r="H81" s="87"/>
      <c r="I81" s="87"/>
      <c r="J81" s="87"/>
      <c r="K81" s="87"/>
      <c r="L81" s="87"/>
      <c r="M81" s="87"/>
      <c r="N81" s="87"/>
      <c r="O81" s="87"/>
      <c r="P81" s="87"/>
      <c r="Q81" s="87"/>
      <c r="R81" s="87"/>
      <c r="S81" s="87"/>
      <c r="T81" s="87"/>
      <c r="U81" s="87"/>
      <c r="V81" s="87"/>
      <c r="W81" s="87"/>
      <c r="X81" s="87"/>
      <c r="Y81" s="87"/>
      <c r="Z81" s="87"/>
      <c r="AA81" s="87"/>
      <c r="AB81" s="87"/>
      <c r="AC81" s="87"/>
      <c r="AD81" s="87"/>
      <c r="AE81" s="87"/>
      <c r="AF81" s="87"/>
      <c r="AG81" s="87"/>
      <c r="AH81" s="87"/>
      <c r="AI81" s="87"/>
      <c r="AJ81" s="87"/>
      <c r="AK81" s="87"/>
      <c r="AL81" s="87"/>
      <c r="AM81" s="87"/>
      <c r="AN81" s="87"/>
      <c r="AO81" s="87"/>
      <c r="AP81" s="87"/>
      <c r="AQ81" s="87"/>
      <c r="AR81" s="87"/>
      <c r="AS81" s="87"/>
    </row>
    <row r="82" spans="1:45">
      <c r="A82" s="87"/>
      <c r="B82" s="87"/>
      <c r="C82" s="87"/>
      <c r="D82" s="87"/>
      <c r="E82" s="87"/>
      <c r="F82" s="87"/>
      <c r="G82" s="87"/>
      <c r="H82" s="87"/>
      <c r="I82" s="87"/>
      <c r="J82" s="87"/>
      <c r="K82" s="87"/>
      <c r="L82" s="87"/>
      <c r="M82" s="87"/>
      <c r="N82" s="87"/>
      <c r="O82" s="87"/>
      <c r="P82" s="87"/>
      <c r="Q82" s="87"/>
      <c r="R82" s="87"/>
      <c r="S82" s="87"/>
      <c r="T82" s="87"/>
      <c r="U82" s="87"/>
      <c r="V82" s="87"/>
      <c r="W82" s="87"/>
      <c r="X82" s="87"/>
      <c r="Y82" s="87"/>
      <c r="Z82" s="87"/>
      <c r="AA82" s="87"/>
      <c r="AB82" s="87"/>
      <c r="AC82" s="87"/>
      <c r="AD82" s="87"/>
      <c r="AE82" s="87"/>
      <c r="AF82" s="87"/>
      <c r="AG82" s="87"/>
      <c r="AH82" s="87"/>
      <c r="AI82" s="87"/>
      <c r="AJ82" s="87"/>
      <c r="AK82" s="87"/>
      <c r="AL82" s="87"/>
      <c r="AM82" s="87"/>
      <c r="AN82" s="87"/>
      <c r="AO82" s="87"/>
      <c r="AP82" s="87"/>
      <c r="AQ82" s="87"/>
      <c r="AR82" s="87"/>
      <c r="AS82" s="87"/>
    </row>
    <row r="83" spans="1:45">
      <c r="A83" s="87"/>
      <c r="B83" s="87"/>
      <c r="C83" s="87"/>
      <c r="D83" s="87"/>
      <c r="E83" s="87"/>
      <c r="F83" s="87"/>
      <c r="G83" s="87"/>
      <c r="H83" s="87"/>
      <c r="I83" s="87"/>
      <c r="J83" s="87"/>
      <c r="K83" s="87"/>
      <c r="L83" s="87"/>
      <c r="M83" s="87"/>
      <c r="N83" s="87"/>
      <c r="O83" s="87"/>
      <c r="P83" s="87"/>
      <c r="Q83" s="87"/>
      <c r="R83" s="87"/>
      <c r="S83" s="87"/>
      <c r="T83" s="87"/>
      <c r="U83" s="87"/>
      <c r="V83" s="87"/>
      <c r="W83" s="87"/>
      <c r="X83" s="87"/>
      <c r="Y83" s="87"/>
      <c r="Z83" s="87"/>
      <c r="AA83" s="87"/>
      <c r="AB83" s="87"/>
      <c r="AC83" s="87"/>
      <c r="AD83" s="87"/>
      <c r="AE83" s="87"/>
      <c r="AF83" s="87"/>
      <c r="AG83" s="87"/>
      <c r="AH83" s="87"/>
      <c r="AI83" s="87"/>
      <c r="AJ83" s="87"/>
      <c r="AK83" s="87"/>
      <c r="AL83" s="87"/>
      <c r="AM83" s="87"/>
      <c r="AN83" s="87"/>
      <c r="AO83" s="87"/>
      <c r="AP83" s="87"/>
      <c r="AQ83" s="87"/>
      <c r="AR83" s="87"/>
      <c r="AS83" s="87"/>
    </row>
    <row r="84" spans="1:45">
      <c r="A84" s="87"/>
      <c r="B84" s="87"/>
      <c r="C84" s="87"/>
      <c r="D84" s="87"/>
      <c r="E84" s="87"/>
      <c r="F84" s="87"/>
      <c r="G84" s="87"/>
      <c r="H84" s="87"/>
      <c r="I84" s="87"/>
      <c r="J84" s="87"/>
      <c r="K84" s="87"/>
      <c r="L84" s="87"/>
      <c r="M84" s="87"/>
      <c r="N84" s="87"/>
      <c r="O84" s="87"/>
      <c r="P84" s="87"/>
      <c r="Q84" s="87"/>
      <c r="R84" s="87"/>
      <c r="S84" s="87"/>
      <c r="T84" s="87"/>
      <c r="U84" s="87"/>
      <c r="V84" s="87"/>
      <c r="W84" s="87"/>
      <c r="X84" s="87"/>
      <c r="Y84" s="87"/>
      <c r="Z84" s="87"/>
      <c r="AA84" s="87"/>
      <c r="AB84" s="87"/>
      <c r="AC84" s="87"/>
      <c r="AD84" s="87"/>
      <c r="AE84" s="87"/>
      <c r="AF84" s="87"/>
      <c r="AG84" s="87"/>
      <c r="AH84" s="87"/>
      <c r="AI84" s="87"/>
      <c r="AJ84" s="87"/>
      <c r="AK84" s="87"/>
      <c r="AL84" s="87"/>
      <c r="AM84" s="87"/>
      <c r="AN84" s="87"/>
      <c r="AO84" s="87"/>
      <c r="AP84" s="87"/>
      <c r="AQ84" s="87"/>
      <c r="AR84" s="87"/>
      <c r="AS84" s="87"/>
    </row>
    <row r="85" spans="1:45">
      <c r="A85" s="87"/>
      <c r="B85" s="87"/>
      <c r="C85" s="87"/>
      <c r="D85" s="87"/>
      <c r="E85" s="87"/>
      <c r="F85" s="87"/>
      <c r="G85" s="87"/>
      <c r="H85" s="87"/>
      <c r="I85" s="87"/>
      <c r="J85" s="87"/>
      <c r="K85" s="87"/>
      <c r="L85" s="87"/>
      <c r="M85" s="87"/>
      <c r="N85" s="87"/>
      <c r="O85" s="87"/>
      <c r="P85" s="87"/>
      <c r="Q85" s="87"/>
      <c r="R85" s="87"/>
      <c r="S85" s="87"/>
      <c r="T85" s="87"/>
      <c r="U85" s="87"/>
      <c r="V85" s="87"/>
      <c r="W85" s="87"/>
      <c r="X85" s="87"/>
      <c r="Y85" s="87"/>
      <c r="Z85" s="87"/>
      <c r="AA85" s="87"/>
      <c r="AB85" s="87"/>
      <c r="AC85" s="87"/>
      <c r="AD85" s="87"/>
      <c r="AE85" s="87"/>
      <c r="AF85" s="87"/>
      <c r="AG85" s="87"/>
      <c r="AH85" s="87"/>
      <c r="AI85" s="87"/>
      <c r="AJ85" s="87"/>
      <c r="AK85" s="87"/>
      <c r="AL85" s="87"/>
      <c r="AM85" s="87"/>
      <c r="AN85" s="87"/>
      <c r="AO85" s="87"/>
      <c r="AP85" s="87"/>
      <c r="AQ85" s="87"/>
      <c r="AR85" s="87"/>
      <c r="AS85" s="87"/>
    </row>
    <row r="86" spans="1:45">
      <c r="A86" s="87"/>
      <c r="B86" s="87"/>
      <c r="C86" s="87"/>
      <c r="D86" s="87"/>
      <c r="E86" s="87"/>
      <c r="F86" s="87"/>
      <c r="G86" s="87"/>
      <c r="H86" s="87"/>
      <c r="I86" s="87"/>
      <c r="J86" s="87"/>
      <c r="K86" s="87"/>
      <c r="L86" s="87"/>
      <c r="M86" s="87"/>
      <c r="N86" s="87"/>
      <c r="O86" s="87"/>
      <c r="P86" s="87"/>
      <c r="Q86" s="87"/>
      <c r="R86" s="87"/>
      <c r="S86" s="87"/>
      <c r="T86" s="87"/>
      <c r="U86" s="87"/>
      <c r="V86" s="87"/>
      <c r="W86" s="87"/>
      <c r="X86" s="87"/>
      <c r="Y86" s="87"/>
      <c r="Z86" s="87"/>
      <c r="AA86" s="87"/>
      <c r="AB86" s="87"/>
      <c r="AC86" s="87"/>
      <c r="AD86" s="87"/>
      <c r="AE86" s="87"/>
      <c r="AF86" s="87"/>
      <c r="AG86" s="87"/>
      <c r="AH86" s="87"/>
      <c r="AI86" s="87"/>
      <c r="AJ86" s="87"/>
      <c r="AK86" s="87"/>
      <c r="AL86" s="87"/>
      <c r="AM86" s="87"/>
      <c r="AN86" s="87"/>
      <c r="AO86" s="87"/>
      <c r="AP86" s="87"/>
      <c r="AQ86" s="87"/>
      <c r="AR86" s="87"/>
      <c r="AS86" s="87"/>
    </row>
    <row r="87" spans="1:45">
      <c r="A87" s="87"/>
      <c r="B87" s="87"/>
      <c r="C87" s="87"/>
      <c r="D87" s="87"/>
      <c r="E87" s="87"/>
      <c r="F87" s="87"/>
      <c r="G87" s="87"/>
      <c r="H87" s="87"/>
      <c r="I87" s="87"/>
      <c r="J87" s="87"/>
      <c r="K87" s="87"/>
      <c r="L87" s="87"/>
      <c r="M87" s="87"/>
      <c r="N87" s="87"/>
      <c r="O87" s="87"/>
      <c r="P87" s="87"/>
      <c r="Q87" s="87"/>
      <c r="R87" s="87"/>
      <c r="S87" s="87"/>
      <c r="T87" s="87"/>
      <c r="U87" s="87"/>
      <c r="V87" s="87"/>
      <c r="W87" s="87"/>
      <c r="X87" s="87"/>
      <c r="Y87" s="87"/>
      <c r="Z87" s="87"/>
      <c r="AA87" s="87"/>
      <c r="AB87" s="87"/>
      <c r="AC87" s="87"/>
      <c r="AD87" s="87"/>
      <c r="AE87" s="87"/>
      <c r="AF87" s="87"/>
      <c r="AG87" s="87"/>
      <c r="AH87" s="87"/>
      <c r="AI87" s="87"/>
      <c r="AJ87" s="87"/>
      <c r="AK87" s="87"/>
      <c r="AL87" s="87"/>
      <c r="AM87" s="87"/>
      <c r="AN87" s="87"/>
      <c r="AO87" s="87"/>
      <c r="AP87" s="87"/>
      <c r="AQ87" s="87"/>
      <c r="AR87" s="87"/>
      <c r="AS87" s="87"/>
    </row>
    <row r="88" spans="1:45">
      <c r="A88" s="87"/>
      <c r="B88" s="87"/>
      <c r="C88" s="87"/>
      <c r="D88" s="87"/>
      <c r="E88" s="87"/>
      <c r="F88" s="87"/>
      <c r="G88" s="87"/>
      <c r="H88" s="87"/>
      <c r="I88" s="87"/>
      <c r="J88" s="87"/>
      <c r="K88" s="87"/>
      <c r="L88" s="87"/>
      <c r="M88" s="87"/>
      <c r="N88" s="87"/>
      <c r="O88" s="87"/>
      <c r="P88" s="87"/>
      <c r="Q88" s="87"/>
      <c r="R88" s="87"/>
      <c r="S88" s="87"/>
      <c r="T88" s="87"/>
      <c r="U88" s="87"/>
      <c r="V88" s="87"/>
      <c r="W88" s="87"/>
      <c r="X88" s="87"/>
      <c r="Y88" s="87"/>
      <c r="Z88" s="87"/>
      <c r="AA88" s="87"/>
      <c r="AB88" s="87"/>
      <c r="AC88" s="87"/>
      <c r="AD88" s="87"/>
      <c r="AE88" s="87"/>
      <c r="AF88" s="87"/>
      <c r="AG88" s="87"/>
      <c r="AH88" s="87"/>
      <c r="AI88" s="87"/>
      <c r="AJ88" s="87"/>
      <c r="AK88" s="87"/>
      <c r="AL88" s="87"/>
      <c r="AM88" s="87"/>
      <c r="AN88" s="87"/>
      <c r="AO88" s="87"/>
      <c r="AP88" s="87"/>
      <c r="AQ88" s="87"/>
      <c r="AR88" s="87"/>
      <c r="AS88" s="87"/>
    </row>
    <row r="89" spans="1:45">
      <c r="A89" s="87"/>
      <c r="B89" s="87"/>
      <c r="C89" s="87"/>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7"/>
      <c r="AE89" s="87"/>
      <c r="AF89" s="87"/>
      <c r="AG89" s="87"/>
      <c r="AH89" s="87"/>
      <c r="AI89" s="87"/>
      <c r="AJ89" s="87"/>
      <c r="AK89" s="87"/>
      <c r="AL89" s="87"/>
      <c r="AM89" s="87"/>
      <c r="AN89" s="87"/>
      <c r="AO89" s="87"/>
      <c r="AP89" s="87"/>
      <c r="AQ89" s="87"/>
      <c r="AR89" s="87"/>
      <c r="AS89" s="87"/>
    </row>
    <row r="90" spans="1:45">
      <c r="A90" s="87"/>
      <c r="B90" s="87"/>
      <c r="C90" s="87"/>
      <c r="D90" s="87"/>
      <c r="E90" s="87"/>
      <c r="F90" s="87"/>
      <c r="G90" s="87"/>
      <c r="H90" s="87"/>
      <c r="I90" s="87"/>
      <c r="J90" s="87"/>
      <c r="K90" s="87"/>
      <c r="L90" s="87"/>
      <c r="M90" s="87"/>
      <c r="N90" s="87"/>
      <c r="O90" s="87"/>
      <c r="P90" s="87"/>
      <c r="Q90" s="87"/>
      <c r="R90" s="87"/>
      <c r="S90" s="87"/>
      <c r="T90" s="87"/>
      <c r="U90" s="87"/>
      <c r="V90" s="87"/>
      <c r="W90" s="87"/>
      <c r="X90" s="87"/>
      <c r="Y90" s="87"/>
      <c r="Z90" s="87"/>
      <c r="AA90" s="87"/>
      <c r="AB90" s="87"/>
      <c r="AC90" s="87"/>
      <c r="AD90" s="87"/>
      <c r="AE90" s="87"/>
      <c r="AF90" s="87"/>
      <c r="AG90" s="87"/>
      <c r="AH90" s="87"/>
      <c r="AI90" s="87"/>
      <c r="AJ90" s="87"/>
      <c r="AK90" s="87"/>
      <c r="AL90" s="87"/>
      <c r="AM90" s="87"/>
      <c r="AN90" s="87"/>
      <c r="AO90" s="87"/>
      <c r="AP90" s="87"/>
      <c r="AQ90" s="87"/>
      <c r="AR90" s="87"/>
      <c r="AS90" s="87"/>
    </row>
    <row r="91" spans="1:45">
      <c r="A91" s="87"/>
      <c r="B91" s="87"/>
      <c r="C91" s="87"/>
      <c r="D91" s="87"/>
      <c r="E91" s="87"/>
      <c r="F91" s="87"/>
      <c r="G91" s="87"/>
      <c r="H91" s="87"/>
      <c r="I91" s="87"/>
      <c r="J91" s="87"/>
      <c r="K91" s="87"/>
      <c r="L91" s="87"/>
      <c r="M91" s="87"/>
      <c r="N91" s="87"/>
      <c r="O91" s="87"/>
      <c r="P91" s="87"/>
      <c r="Q91" s="87"/>
      <c r="R91" s="87"/>
      <c r="S91" s="87"/>
      <c r="T91" s="87"/>
      <c r="U91" s="87"/>
      <c r="V91" s="87"/>
      <c r="W91" s="87"/>
      <c r="X91" s="87"/>
      <c r="Y91" s="87"/>
      <c r="Z91" s="87"/>
      <c r="AA91" s="87"/>
      <c r="AB91" s="87"/>
      <c r="AC91" s="87"/>
      <c r="AD91" s="87"/>
      <c r="AE91" s="87"/>
      <c r="AF91" s="87"/>
      <c r="AG91" s="87"/>
      <c r="AH91" s="87"/>
      <c r="AI91" s="87"/>
      <c r="AJ91" s="87"/>
      <c r="AK91" s="87"/>
      <c r="AL91" s="87"/>
      <c r="AM91" s="87"/>
      <c r="AN91" s="87"/>
      <c r="AO91" s="87"/>
      <c r="AP91" s="87"/>
      <c r="AQ91" s="87"/>
      <c r="AR91" s="87"/>
      <c r="AS91" s="87"/>
    </row>
    <row r="92" spans="1:45">
      <c r="A92" s="87"/>
      <c r="B92" s="87"/>
      <c r="C92" s="87"/>
      <c r="D92" s="87"/>
      <c r="E92" s="87"/>
      <c r="F92" s="87"/>
      <c r="G92" s="87"/>
      <c r="H92" s="87"/>
      <c r="I92" s="87"/>
      <c r="J92" s="87"/>
      <c r="K92" s="87"/>
      <c r="L92" s="87"/>
      <c r="M92" s="87"/>
      <c r="N92" s="87"/>
      <c r="O92" s="87"/>
      <c r="P92" s="87"/>
      <c r="Q92" s="87"/>
      <c r="R92" s="87"/>
      <c r="S92" s="87"/>
      <c r="T92" s="87"/>
      <c r="U92" s="87"/>
      <c r="V92" s="87"/>
      <c r="W92" s="87"/>
      <c r="X92" s="87"/>
      <c r="Y92" s="87"/>
      <c r="Z92" s="87"/>
      <c r="AA92" s="87"/>
      <c r="AB92" s="87"/>
      <c r="AC92" s="87"/>
      <c r="AD92" s="87"/>
      <c r="AE92" s="87"/>
      <c r="AF92" s="87"/>
      <c r="AG92" s="87"/>
      <c r="AH92" s="87"/>
      <c r="AI92" s="87"/>
      <c r="AJ92" s="87"/>
      <c r="AK92" s="87"/>
      <c r="AL92" s="87"/>
      <c r="AM92" s="87"/>
      <c r="AN92" s="87"/>
      <c r="AO92" s="87"/>
      <c r="AP92" s="87"/>
      <c r="AQ92" s="87"/>
      <c r="AR92" s="87"/>
      <c r="AS92" s="87"/>
    </row>
    <row r="93" spans="1:45">
      <c r="A93" s="87"/>
      <c r="B93" s="87"/>
      <c r="C93" s="87"/>
      <c r="D93" s="87"/>
      <c r="E93" s="87"/>
      <c r="F93" s="87"/>
      <c r="G93" s="87"/>
      <c r="H93" s="87"/>
      <c r="I93" s="87"/>
      <c r="J93" s="87"/>
      <c r="K93" s="87"/>
      <c r="L93" s="87"/>
      <c r="M93" s="87"/>
      <c r="N93" s="87"/>
      <c r="O93" s="87"/>
      <c r="P93" s="87"/>
      <c r="Q93" s="87"/>
      <c r="R93" s="87"/>
      <c r="S93" s="87"/>
      <c r="T93" s="87"/>
      <c r="U93" s="87"/>
      <c r="V93" s="87"/>
      <c r="W93" s="87"/>
      <c r="X93" s="87"/>
      <c r="Y93" s="87"/>
      <c r="Z93" s="87"/>
      <c r="AA93" s="87"/>
      <c r="AB93" s="87"/>
      <c r="AC93" s="87"/>
      <c r="AD93" s="87"/>
      <c r="AE93" s="87"/>
      <c r="AF93" s="87"/>
      <c r="AG93" s="87"/>
      <c r="AH93" s="87"/>
      <c r="AI93" s="87"/>
      <c r="AJ93" s="87"/>
      <c r="AK93" s="87"/>
      <c r="AL93" s="87"/>
      <c r="AM93" s="87"/>
      <c r="AN93" s="87"/>
      <c r="AO93" s="87"/>
      <c r="AP93" s="87"/>
      <c r="AQ93" s="87"/>
      <c r="AR93" s="87"/>
      <c r="AS93" s="87"/>
    </row>
    <row r="94" spans="1:45">
      <c r="A94" s="87"/>
      <c r="B94" s="87"/>
      <c r="C94" s="87"/>
      <c r="D94" s="87"/>
      <c r="E94" s="87"/>
      <c r="F94" s="87"/>
      <c r="G94" s="87"/>
      <c r="H94" s="87"/>
      <c r="I94" s="87"/>
      <c r="J94" s="87"/>
      <c r="K94" s="87"/>
      <c r="L94" s="87"/>
      <c r="M94" s="87"/>
      <c r="N94" s="87"/>
      <c r="O94" s="87"/>
      <c r="P94" s="87"/>
      <c r="Q94" s="87"/>
      <c r="R94" s="87"/>
      <c r="S94" s="87"/>
      <c r="T94" s="87"/>
      <c r="U94" s="87"/>
      <c r="V94" s="87"/>
      <c r="W94" s="87"/>
      <c r="X94" s="87"/>
      <c r="Y94" s="87"/>
      <c r="Z94" s="87"/>
      <c r="AA94" s="87"/>
      <c r="AB94" s="87"/>
      <c r="AC94" s="87"/>
      <c r="AD94" s="87"/>
      <c r="AE94" s="87"/>
      <c r="AF94" s="87"/>
      <c r="AG94" s="87"/>
      <c r="AH94" s="87"/>
      <c r="AI94" s="87"/>
      <c r="AJ94" s="87"/>
      <c r="AK94" s="87"/>
      <c r="AL94" s="87"/>
      <c r="AM94" s="87"/>
      <c r="AN94" s="87"/>
      <c r="AO94" s="87"/>
      <c r="AP94" s="87"/>
      <c r="AQ94" s="87"/>
      <c r="AR94" s="87"/>
      <c r="AS94" s="87"/>
    </row>
    <row r="95" spans="1:45">
      <c r="A95" s="87"/>
      <c r="B95" s="87"/>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7"/>
      <c r="AG95" s="87"/>
      <c r="AH95" s="87"/>
      <c r="AI95" s="87"/>
      <c r="AJ95" s="87"/>
      <c r="AK95" s="87"/>
      <c r="AL95" s="87"/>
      <c r="AM95" s="87"/>
      <c r="AN95" s="87"/>
      <c r="AO95" s="87"/>
      <c r="AP95" s="87"/>
      <c r="AQ95" s="87"/>
      <c r="AR95" s="87"/>
      <c r="AS95" s="87"/>
    </row>
    <row r="96" spans="1:45">
      <c r="A96" s="87"/>
      <c r="B96" s="87"/>
      <c r="C96" s="87"/>
      <c r="D96" s="87"/>
      <c r="E96" s="87"/>
      <c r="F96" s="87"/>
      <c r="G96" s="87"/>
      <c r="H96" s="87"/>
      <c r="I96" s="87"/>
      <c r="J96" s="87"/>
      <c r="K96" s="87"/>
      <c r="L96" s="87"/>
      <c r="M96" s="87"/>
      <c r="N96" s="87"/>
      <c r="O96" s="87"/>
      <c r="P96" s="87"/>
      <c r="Q96" s="87"/>
      <c r="R96" s="87"/>
      <c r="S96" s="87"/>
      <c r="T96" s="87"/>
      <c r="U96" s="87"/>
      <c r="V96" s="87"/>
      <c r="W96" s="87"/>
      <c r="X96" s="87"/>
      <c r="Y96" s="87"/>
      <c r="Z96" s="87"/>
      <c r="AA96" s="87"/>
      <c r="AB96" s="87"/>
      <c r="AC96" s="87"/>
      <c r="AD96" s="87"/>
      <c r="AE96" s="87"/>
      <c r="AF96" s="87"/>
      <c r="AG96" s="87"/>
      <c r="AH96" s="87"/>
      <c r="AI96" s="87"/>
      <c r="AJ96" s="87"/>
      <c r="AK96" s="87"/>
      <c r="AL96" s="87"/>
      <c r="AM96" s="87"/>
      <c r="AN96" s="87"/>
      <c r="AO96" s="87"/>
      <c r="AP96" s="87"/>
      <c r="AQ96" s="87"/>
      <c r="AR96" s="87"/>
      <c r="AS96" s="87"/>
    </row>
    <row r="97" spans="1:45">
      <c r="A97" s="87"/>
      <c r="B97" s="87"/>
      <c r="C97" s="87"/>
      <c r="D97" s="87"/>
      <c r="E97" s="87"/>
      <c r="F97" s="87"/>
      <c r="G97" s="87"/>
      <c r="H97" s="87"/>
      <c r="I97" s="87"/>
      <c r="J97" s="87"/>
      <c r="K97" s="87"/>
      <c r="L97" s="87"/>
      <c r="M97" s="87"/>
      <c r="N97" s="87"/>
      <c r="O97" s="87"/>
      <c r="P97" s="87"/>
      <c r="Q97" s="87"/>
      <c r="R97" s="87"/>
      <c r="S97" s="87"/>
      <c r="T97" s="87"/>
      <c r="U97" s="87"/>
      <c r="V97" s="87"/>
      <c r="W97" s="87"/>
      <c r="X97" s="87"/>
      <c r="Y97" s="87"/>
      <c r="Z97" s="87"/>
      <c r="AA97" s="87"/>
      <c r="AB97" s="87"/>
      <c r="AC97" s="87"/>
      <c r="AD97" s="87"/>
      <c r="AE97" s="87"/>
      <c r="AF97" s="87"/>
      <c r="AG97" s="87"/>
      <c r="AH97" s="87"/>
      <c r="AI97" s="87"/>
      <c r="AJ97" s="87"/>
      <c r="AK97" s="87"/>
      <c r="AL97" s="87"/>
      <c r="AM97" s="87"/>
      <c r="AN97" s="87"/>
      <c r="AO97" s="87"/>
      <c r="AP97" s="87"/>
      <c r="AQ97" s="87"/>
      <c r="AR97" s="87"/>
      <c r="AS97" s="87"/>
    </row>
    <row r="98" spans="1:45">
      <c r="A98" s="87"/>
      <c r="B98" s="87"/>
      <c r="C98" s="87"/>
      <c r="D98" s="87"/>
      <c r="E98" s="87"/>
      <c r="F98" s="87"/>
      <c r="G98" s="87"/>
      <c r="H98" s="87"/>
      <c r="I98" s="87"/>
      <c r="J98" s="87"/>
      <c r="K98" s="87"/>
      <c r="L98" s="87"/>
      <c r="M98" s="87"/>
      <c r="N98" s="87"/>
      <c r="O98" s="87"/>
      <c r="P98" s="87"/>
      <c r="Q98" s="87"/>
      <c r="R98" s="87"/>
      <c r="S98" s="87"/>
      <c r="T98" s="87"/>
      <c r="U98" s="87"/>
      <c r="V98" s="87"/>
      <c r="W98" s="87"/>
      <c r="X98" s="87"/>
      <c r="Y98" s="87"/>
      <c r="Z98" s="87"/>
      <c r="AA98" s="87"/>
      <c r="AB98" s="87"/>
      <c r="AC98" s="87"/>
      <c r="AD98" s="87"/>
      <c r="AE98" s="87"/>
      <c r="AF98" s="87"/>
      <c r="AG98" s="87"/>
      <c r="AH98" s="87"/>
      <c r="AI98" s="87"/>
      <c r="AJ98" s="87"/>
      <c r="AK98" s="87"/>
      <c r="AL98" s="87"/>
      <c r="AM98" s="87"/>
      <c r="AN98" s="87"/>
      <c r="AO98" s="87"/>
      <c r="AP98" s="87"/>
      <c r="AQ98" s="87"/>
      <c r="AR98" s="87"/>
      <c r="AS98" s="87"/>
    </row>
    <row r="99" spans="1:45">
      <c r="A99" s="87"/>
      <c r="B99" s="87"/>
      <c r="C99" s="87"/>
      <c r="D99" s="87"/>
      <c r="E99" s="87"/>
      <c r="F99" s="87"/>
      <c r="G99" s="87"/>
      <c r="H99" s="87"/>
      <c r="I99" s="87"/>
      <c r="J99" s="87"/>
      <c r="K99" s="87"/>
      <c r="L99" s="87"/>
      <c r="M99" s="87"/>
      <c r="N99" s="87"/>
      <c r="O99" s="87"/>
      <c r="P99" s="87"/>
      <c r="Q99" s="87"/>
      <c r="R99" s="87"/>
      <c r="S99" s="87"/>
      <c r="T99" s="87"/>
      <c r="U99" s="87"/>
      <c r="V99" s="87"/>
      <c r="W99" s="87"/>
      <c r="X99" s="87"/>
      <c r="Y99" s="87"/>
      <c r="Z99" s="87"/>
      <c r="AA99" s="87"/>
      <c r="AB99" s="87"/>
      <c r="AC99" s="87"/>
      <c r="AD99" s="87"/>
      <c r="AE99" s="87"/>
      <c r="AF99" s="87"/>
      <c r="AG99" s="87"/>
      <c r="AH99" s="87"/>
      <c r="AI99" s="87"/>
      <c r="AJ99" s="87"/>
      <c r="AK99" s="87"/>
      <c r="AL99" s="87"/>
      <c r="AM99" s="87"/>
      <c r="AN99" s="87"/>
      <c r="AO99" s="87"/>
      <c r="AP99" s="87"/>
      <c r="AQ99" s="87"/>
      <c r="AR99" s="87"/>
      <c r="AS99" s="87"/>
    </row>
    <row r="100" spans="1:45">
      <c r="A100" s="87"/>
      <c r="B100" s="87"/>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c r="AH100" s="87"/>
      <c r="AI100" s="87"/>
      <c r="AJ100" s="87"/>
      <c r="AK100" s="87"/>
      <c r="AL100" s="87"/>
      <c r="AM100" s="87"/>
      <c r="AN100" s="87"/>
      <c r="AO100" s="87"/>
      <c r="AP100" s="87"/>
      <c r="AQ100" s="87"/>
      <c r="AR100" s="87"/>
      <c r="AS100" s="87"/>
    </row>
    <row r="101" spans="1:45">
      <c r="A101" s="87"/>
      <c r="B101" s="87"/>
      <c r="C101" s="87"/>
      <c r="D101" s="87"/>
      <c r="E101" s="87"/>
      <c r="F101" s="87"/>
      <c r="G101" s="87"/>
      <c r="H101" s="87"/>
      <c r="I101" s="87"/>
      <c r="J101" s="87"/>
      <c r="K101" s="87"/>
      <c r="L101" s="87"/>
      <c r="M101" s="87"/>
      <c r="N101" s="87"/>
      <c r="O101" s="87"/>
      <c r="P101" s="87"/>
      <c r="Q101" s="87"/>
      <c r="R101" s="87"/>
      <c r="S101" s="87"/>
      <c r="T101" s="87"/>
      <c r="U101" s="87"/>
      <c r="V101" s="87"/>
      <c r="W101" s="87"/>
      <c r="X101" s="87"/>
      <c r="Y101" s="87"/>
      <c r="Z101" s="87"/>
      <c r="AA101" s="87"/>
      <c r="AB101" s="87"/>
      <c r="AC101" s="87"/>
      <c r="AD101" s="87"/>
      <c r="AE101" s="87"/>
      <c r="AF101" s="87"/>
      <c r="AG101" s="87"/>
      <c r="AH101" s="87"/>
      <c r="AI101" s="87"/>
      <c r="AJ101" s="87"/>
      <c r="AK101" s="87"/>
      <c r="AL101" s="87"/>
      <c r="AM101" s="87"/>
      <c r="AN101" s="87"/>
      <c r="AO101" s="87"/>
      <c r="AP101" s="87"/>
      <c r="AQ101" s="87"/>
      <c r="AR101" s="87"/>
      <c r="AS101" s="87"/>
    </row>
    <row r="102" spans="1:45">
      <c r="A102" s="87"/>
      <c r="B102" s="87"/>
      <c r="C102" s="87"/>
      <c r="D102" s="87"/>
      <c r="E102" s="87"/>
      <c r="F102" s="87"/>
      <c r="G102" s="87"/>
      <c r="H102" s="87"/>
      <c r="I102" s="87"/>
      <c r="J102" s="87"/>
      <c r="K102" s="87"/>
      <c r="L102" s="87"/>
      <c r="M102" s="87"/>
      <c r="N102" s="87"/>
      <c r="O102" s="87"/>
      <c r="P102" s="87"/>
      <c r="Q102" s="87"/>
      <c r="R102" s="87"/>
      <c r="S102" s="87"/>
      <c r="T102" s="87"/>
      <c r="U102" s="87"/>
      <c r="V102" s="87"/>
      <c r="W102" s="87"/>
      <c r="X102" s="87"/>
      <c r="Y102" s="87"/>
      <c r="Z102" s="87"/>
      <c r="AA102" s="87"/>
      <c r="AB102" s="87"/>
      <c r="AC102" s="87"/>
      <c r="AD102" s="87"/>
      <c r="AE102" s="87"/>
      <c r="AF102" s="87"/>
      <c r="AG102" s="87"/>
      <c r="AH102" s="87"/>
      <c r="AI102" s="87"/>
      <c r="AJ102" s="87"/>
      <c r="AK102" s="87"/>
      <c r="AL102" s="87"/>
      <c r="AM102" s="87"/>
      <c r="AN102" s="87"/>
      <c r="AO102" s="87"/>
      <c r="AP102" s="87"/>
      <c r="AQ102" s="87"/>
      <c r="AR102" s="87"/>
      <c r="AS102" s="87"/>
    </row>
    <row r="103" spans="1:45">
      <c r="A103" s="87"/>
      <c r="B103" s="87"/>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7"/>
      <c r="AB103" s="87"/>
      <c r="AC103" s="87"/>
      <c r="AD103" s="87"/>
      <c r="AE103" s="87"/>
      <c r="AF103" s="87"/>
      <c r="AG103" s="87"/>
      <c r="AH103" s="87"/>
      <c r="AI103" s="87"/>
      <c r="AJ103" s="87"/>
      <c r="AK103" s="87"/>
      <c r="AL103" s="87"/>
      <c r="AM103" s="87"/>
      <c r="AN103" s="87"/>
      <c r="AO103" s="87"/>
      <c r="AP103" s="87"/>
      <c r="AQ103" s="87"/>
      <c r="AR103" s="87"/>
      <c r="AS103" s="87"/>
    </row>
    <row r="104" spans="1:45">
      <c r="A104" s="87"/>
      <c r="B104" s="87"/>
      <c r="C104" s="87"/>
      <c r="D104" s="87"/>
      <c r="E104" s="87"/>
      <c r="F104" s="87"/>
      <c r="G104" s="87"/>
      <c r="H104" s="87"/>
      <c r="I104" s="87"/>
      <c r="J104" s="87"/>
      <c r="K104" s="87"/>
      <c r="L104" s="87"/>
      <c r="M104" s="87"/>
      <c r="N104" s="87"/>
      <c r="O104" s="87"/>
      <c r="P104" s="87"/>
      <c r="Q104" s="87"/>
      <c r="R104" s="87"/>
      <c r="S104" s="87"/>
      <c r="T104" s="87"/>
      <c r="U104" s="87"/>
      <c r="V104" s="87"/>
      <c r="W104" s="87"/>
      <c r="X104" s="87"/>
      <c r="Y104" s="87"/>
      <c r="Z104" s="87"/>
      <c r="AA104" s="87"/>
      <c r="AB104" s="87"/>
      <c r="AC104" s="87"/>
      <c r="AD104" s="87"/>
      <c r="AE104" s="87"/>
      <c r="AF104" s="87"/>
      <c r="AG104" s="87"/>
      <c r="AH104" s="87"/>
      <c r="AI104" s="87"/>
      <c r="AJ104" s="87"/>
      <c r="AK104" s="87"/>
      <c r="AL104" s="87"/>
      <c r="AM104" s="87"/>
      <c r="AN104" s="87"/>
      <c r="AO104" s="87"/>
      <c r="AP104" s="87"/>
      <c r="AQ104" s="87"/>
      <c r="AR104" s="87"/>
      <c r="AS104" s="87"/>
    </row>
    <row r="105" spans="1:45">
      <c r="A105" s="87"/>
      <c r="B105" s="87"/>
      <c r="C105" s="87"/>
      <c r="D105" s="87"/>
      <c r="E105" s="87"/>
      <c r="F105" s="87"/>
      <c r="G105" s="87"/>
      <c r="H105" s="87"/>
      <c r="I105" s="87"/>
      <c r="J105" s="87"/>
      <c r="K105" s="87"/>
      <c r="L105" s="87"/>
      <c r="M105" s="87"/>
      <c r="N105" s="87"/>
      <c r="O105" s="87"/>
      <c r="P105" s="87"/>
      <c r="Q105" s="87"/>
      <c r="R105" s="87"/>
      <c r="S105" s="87"/>
      <c r="T105" s="87"/>
      <c r="U105" s="87"/>
      <c r="V105" s="87"/>
      <c r="W105" s="87"/>
      <c r="X105" s="87"/>
      <c r="Y105" s="87"/>
      <c r="Z105" s="87"/>
      <c r="AA105" s="87"/>
      <c r="AB105" s="87"/>
      <c r="AC105" s="87"/>
      <c r="AD105" s="87"/>
      <c r="AE105" s="87"/>
      <c r="AF105" s="87"/>
      <c r="AG105" s="87"/>
      <c r="AH105" s="87"/>
      <c r="AI105" s="87"/>
      <c r="AJ105" s="87"/>
      <c r="AK105" s="87"/>
      <c r="AL105" s="87"/>
      <c r="AM105" s="87"/>
      <c r="AN105" s="87"/>
      <c r="AO105" s="87"/>
      <c r="AP105" s="87"/>
      <c r="AQ105" s="87"/>
      <c r="AR105" s="87"/>
      <c r="AS105" s="87"/>
    </row>
    <row r="106" spans="1:45">
      <c r="A106" s="87"/>
      <c r="B106" s="87"/>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c r="AA106" s="87"/>
      <c r="AB106" s="87"/>
      <c r="AC106" s="87"/>
      <c r="AD106" s="87"/>
      <c r="AE106" s="87"/>
      <c r="AF106" s="87"/>
      <c r="AG106" s="87"/>
      <c r="AH106" s="87"/>
      <c r="AI106" s="87"/>
      <c r="AJ106" s="87"/>
      <c r="AK106" s="87"/>
      <c r="AL106" s="87"/>
      <c r="AM106" s="87"/>
      <c r="AN106" s="87"/>
      <c r="AO106" s="87"/>
      <c r="AP106" s="87"/>
      <c r="AQ106" s="87"/>
      <c r="AR106" s="87"/>
      <c r="AS106" s="87"/>
    </row>
    <row r="107" spans="1:45">
      <c r="A107" s="87"/>
      <c r="B107" s="87"/>
      <c r="C107" s="87"/>
      <c r="D107" s="87"/>
      <c r="E107" s="87"/>
      <c r="F107" s="87"/>
      <c r="G107" s="87"/>
      <c r="H107" s="87"/>
      <c r="I107" s="87"/>
      <c r="J107" s="87"/>
      <c r="K107" s="87"/>
      <c r="L107" s="87"/>
      <c r="M107" s="87"/>
      <c r="N107" s="87"/>
      <c r="O107" s="87"/>
      <c r="P107" s="87"/>
      <c r="Q107" s="87"/>
      <c r="R107" s="87"/>
      <c r="S107" s="87"/>
      <c r="T107" s="87"/>
      <c r="U107" s="87"/>
      <c r="V107" s="87"/>
      <c r="W107" s="87"/>
      <c r="X107" s="87"/>
      <c r="Y107" s="87"/>
      <c r="Z107" s="87"/>
      <c r="AA107" s="87"/>
      <c r="AB107" s="87"/>
      <c r="AC107" s="87"/>
      <c r="AD107" s="87"/>
      <c r="AE107" s="87"/>
      <c r="AF107" s="87"/>
      <c r="AG107" s="87"/>
      <c r="AH107" s="87"/>
      <c r="AI107" s="87"/>
      <c r="AJ107" s="87"/>
      <c r="AK107" s="87"/>
      <c r="AL107" s="87"/>
      <c r="AM107" s="87"/>
      <c r="AN107" s="87"/>
      <c r="AO107" s="87"/>
      <c r="AP107" s="87"/>
      <c r="AQ107" s="87"/>
      <c r="AR107" s="87"/>
      <c r="AS107" s="87"/>
    </row>
    <row r="108" spans="1:45">
      <c r="A108" s="87"/>
      <c r="B108" s="87"/>
      <c r="C108" s="87"/>
      <c r="D108" s="87"/>
      <c r="E108" s="87"/>
      <c r="F108" s="87"/>
      <c r="G108" s="87"/>
      <c r="H108" s="87"/>
      <c r="I108" s="87"/>
      <c r="J108" s="87"/>
      <c r="K108" s="87"/>
      <c r="L108" s="87"/>
      <c r="M108" s="87"/>
      <c r="N108" s="87"/>
      <c r="O108" s="87"/>
      <c r="P108" s="87"/>
      <c r="Q108" s="87"/>
      <c r="R108" s="87"/>
      <c r="S108" s="87"/>
      <c r="T108" s="87"/>
      <c r="U108" s="87"/>
      <c r="V108" s="87"/>
      <c r="W108" s="87"/>
      <c r="X108" s="87"/>
      <c r="Y108" s="87"/>
      <c r="Z108" s="87"/>
      <c r="AA108" s="87"/>
      <c r="AB108" s="87"/>
      <c r="AC108" s="87"/>
      <c r="AD108" s="87"/>
      <c r="AE108" s="87"/>
      <c r="AF108" s="87"/>
      <c r="AG108" s="87"/>
      <c r="AH108" s="87"/>
      <c r="AI108" s="87"/>
      <c r="AJ108" s="87"/>
      <c r="AK108" s="87"/>
      <c r="AL108" s="87"/>
      <c r="AM108" s="87"/>
      <c r="AN108" s="87"/>
      <c r="AO108" s="87"/>
      <c r="AP108" s="87"/>
      <c r="AQ108" s="87"/>
      <c r="AR108" s="87"/>
      <c r="AS108" s="87"/>
    </row>
    <row r="109" spans="1:45">
      <c r="A109" s="87"/>
      <c r="B109" s="87"/>
      <c r="C109" s="87"/>
      <c r="D109" s="87"/>
      <c r="E109" s="87"/>
      <c r="F109" s="87"/>
      <c r="G109" s="87"/>
      <c r="H109" s="87"/>
      <c r="I109" s="87"/>
      <c r="J109" s="87"/>
      <c r="K109" s="87"/>
      <c r="L109" s="87"/>
      <c r="M109" s="87"/>
      <c r="N109" s="87"/>
      <c r="O109" s="87"/>
      <c r="P109" s="87"/>
      <c r="Q109" s="87"/>
      <c r="R109" s="87"/>
      <c r="S109" s="87"/>
      <c r="T109" s="87"/>
      <c r="U109" s="87"/>
      <c r="V109" s="87"/>
      <c r="W109" s="87"/>
      <c r="X109" s="87"/>
      <c r="Y109" s="87"/>
      <c r="Z109" s="87"/>
      <c r="AA109" s="87"/>
      <c r="AB109" s="87"/>
      <c r="AC109" s="87"/>
      <c r="AD109" s="87"/>
      <c r="AE109" s="87"/>
      <c r="AF109" s="87"/>
      <c r="AG109" s="87"/>
      <c r="AH109" s="87"/>
      <c r="AI109" s="87"/>
      <c r="AJ109" s="87"/>
      <c r="AK109" s="87"/>
      <c r="AL109" s="87"/>
      <c r="AM109" s="87"/>
      <c r="AN109" s="87"/>
      <c r="AO109" s="87"/>
      <c r="AP109" s="87"/>
      <c r="AQ109" s="87"/>
      <c r="AR109" s="87"/>
      <c r="AS109" s="87"/>
    </row>
    <row r="110" spans="1:45">
      <c r="A110" s="87"/>
      <c r="B110" s="87"/>
      <c r="C110" s="87"/>
      <c r="D110" s="87"/>
      <c r="E110" s="87"/>
      <c r="F110" s="87"/>
      <c r="G110" s="87"/>
      <c r="H110" s="87"/>
      <c r="I110" s="87"/>
      <c r="J110" s="87"/>
      <c r="K110" s="87"/>
      <c r="L110" s="87"/>
      <c r="M110" s="87"/>
      <c r="N110" s="87"/>
      <c r="O110" s="87"/>
      <c r="P110" s="87"/>
      <c r="Q110" s="87"/>
      <c r="R110" s="87"/>
      <c r="S110" s="87"/>
      <c r="T110" s="87"/>
      <c r="U110" s="87"/>
      <c r="V110" s="87"/>
      <c r="W110" s="87"/>
      <c r="X110" s="87"/>
      <c r="Y110" s="87"/>
      <c r="Z110" s="87"/>
      <c r="AA110" s="87"/>
      <c r="AB110" s="87"/>
      <c r="AC110" s="87"/>
      <c r="AD110" s="87"/>
      <c r="AE110" s="87"/>
      <c r="AF110" s="87"/>
      <c r="AG110" s="87"/>
      <c r="AH110" s="87"/>
      <c r="AI110" s="87"/>
      <c r="AJ110" s="87"/>
      <c r="AK110" s="87"/>
      <c r="AL110" s="87"/>
      <c r="AM110" s="87"/>
      <c r="AN110" s="87"/>
      <c r="AO110" s="87"/>
      <c r="AP110" s="87"/>
      <c r="AQ110" s="87"/>
      <c r="AR110" s="87"/>
      <c r="AS110" s="87"/>
    </row>
    <row r="111" spans="1:45">
      <c r="A111" s="87"/>
      <c r="B111" s="87"/>
      <c r="C111" s="87"/>
      <c r="D111" s="87"/>
      <c r="E111" s="87"/>
      <c r="F111" s="87"/>
      <c r="G111" s="87"/>
      <c r="H111" s="87"/>
      <c r="I111" s="87"/>
      <c r="J111" s="87"/>
      <c r="K111" s="87"/>
      <c r="L111" s="87"/>
      <c r="M111" s="87"/>
      <c r="N111" s="87"/>
      <c r="O111" s="87"/>
      <c r="P111" s="87"/>
      <c r="Q111" s="87"/>
      <c r="R111" s="87"/>
      <c r="S111" s="87"/>
      <c r="T111" s="87"/>
      <c r="U111" s="87"/>
      <c r="V111" s="87"/>
      <c r="W111" s="87"/>
      <c r="X111" s="87"/>
      <c r="Y111" s="87"/>
      <c r="Z111" s="87"/>
      <c r="AA111" s="87"/>
      <c r="AB111" s="87"/>
      <c r="AC111" s="87"/>
      <c r="AD111" s="87"/>
      <c r="AE111" s="87"/>
      <c r="AF111" s="87"/>
      <c r="AG111" s="87"/>
      <c r="AH111" s="87"/>
      <c r="AI111" s="87"/>
      <c r="AJ111" s="87"/>
      <c r="AK111" s="87"/>
      <c r="AL111" s="87"/>
      <c r="AM111" s="87"/>
      <c r="AN111" s="87"/>
      <c r="AO111" s="87"/>
      <c r="AP111" s="87"/>
      <c r="AQ111" s="87"/>
      <c r="AR111" s="87"/>
      <c r="AS111" s="87"/>
    </row>
    <row r="112" spans="1:45">
      <c r="A112" s="87"/>
      <c r="B112" s="87"/>
      <c r="C112" s="87"/>
      <c r="D112" s="87"/>
      <c r="E112" s="87"/>
      <c r="F112" s="87"/>
      <c r="G112" s="87"/>
      <c r="H112" s="87"/>
      <c r="I112" s="87"/>
      <c r="J112" s="87"/>
      <c r="K112" s="87"/>
      <c r="L112" s="87"/>
      <c r="M112" s="87"/>
      <c r="N112" s="87"/>
      <c r="O112" s="87"/>
      <c r="P112" s="87"/>
      <c r="Q112" s="87"/>
      <c r="R112" s="87"/>
      <c r="S112" s="87"/>
      <c r="T112" s="87"/>
      <c r="U112" s="87"/>
      <c r="V112" s="87"/>
      <c r="W112" s="87"/>
      <c r="X112" s="87"/>
      <c r="Y112" s="87"/>
      <c r="Z112" s="87"/>
      <c r="AA112" s="87"/>
      <c r="AB112" s="87"/>
      <c r="AC112" s="87"/>
      <c r="AD112" s="87"/>
      <c r="AE112" s="87"/>
      <c r="AF112" s="87"/>
      <c r="AG112" s="87"/>
      <c r="AH112" s="87"/>
      <c r="AI112" s="87"/>
      <c r="AJ112" s="87"/>
      <c r="AK112" s="87"/>
      <c r="AL112" s="87"/>
      <c r="AM112" s="87"/>
      <c r="AN112" s="87"/>
      <c r="AO112" s="87"/>
      <c r="AP112" s="87"/>
      <c r="AQ112" s="87"/>
      <c r="AR112" s="87"/>
      <c r="AS112" s="87"/>
    </row>
    <row r="113" spans="1:45">
      <c r="A113" s="87"/>
      <c r="B113" s="87"/>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7"/>
      <c r="AG113" s="87"/>
      <c r="AH113" s="87"/>
      <c r="AI113" s="87"/>
      <c r="AJ113" s="87"/>
      <c r="AK113" s="87"/>
      <c r="AL113" s="87"/>
      <c r="AM113" s="87"/>
      <c r="AN113" s="87"/>
      <c r="AO113" s="87"/>
      <c r="AP113" s="87"/>
      <c r="AQ113" s="87"/>
      <c r="AR113" s="87"/>
      <c r="AS113" s="87"/>
    </row>
    <row r="114" spans="1:45">
      <c r="A114" s="87"/>
      <c r="B114" s="87"/>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row>
    <row r="115" spans="1:45">
      <c r="A115" s="87"/>
      <c r="B115" s="87"/>
      <c r="C115" s="87"/>
      <c r="D115" s="87"/>
      <c r="E115" s="87"/>
      <c r="F115" s="87"/>
      <c r="G115" s="87"/>
      <c r="H115" s="87"/>
      <c r="I115" s="87"/>
      <c r="J115" s="87"/>
      <c r="K115" s="87"/>
      <c r="L115" s="87"/>
      <c r="M115" s="87"/>
      <c r="N115" s="87"/>
      <c r="O115" s="87"/>
      <c r="P115" s="87"/>
      <c r="Q115" s="87"/>
      <c r="R115" s="87"/>
      <c r="S115" s="87"/>
      <c r="T115" s="87"/>
      <c r="U115" s="87"/>
      <c r="V115" s="87"/>
      <c r="W115" s="87"/>
      <c r="X115" s="87"/>
      <c r="Y115" s="87"/>
      <c r="Z115" s="87"/>
      <c r="AA115" s="87"/>
      <c r="AB115" s="87"/>
      <c r="AC115" s="87"/>
      <c r="AD115" s="87"/>
      <c r="AE115" s="87"/>
      <c r="AF115" s="87"/>
      <c r="AG115" s="87"/>
      <c r="AH115" s="87"/>
      <c r="AI115" s="87"/>
      <c r="AJ115" s="87"/>
      <c r="AK115" s="87"/>
      <c r="AL115" s="87"/>
      <c r="AM115" s="87"/>
      <c r="AN115" s="87"/>
      <c r="AO115" s="87"/>
      <c r="AP115" s="87"/>
      <c r="AQ115" s="87"/>
      <c r="AR115" s="87"/>
      <c r="AS115" s="87"/>
    </row>
    <row r="116" spans="1:45">
      <c r="A116" s="87"/>
      <c r="B116" s="87"/>
      <c r="C116" s="87"/>
      <c r="D116" s="87"/>
      <c r="E116" s="87"/>
      <c r="F116" s="87"/>
      <c r="G116" s="87"/>
      <c r="H116" s="87"/>
      <c r="I116" s="87"/>
      <c r="J116" s="87"/>
      <c r="K116" s="87"/>
      <c r="L116" s="87"/>
      <c r="M116" s="87"/>
      <c r="N116" s="87"/>
      <c r="O116" s="87"/>
      <c r="P116" s="87"/>
      <c r="Q116" s="87"/>
      <c r="R116" s="87"/>
      <c r="S116" s="87"/>
      <c r="T116" s="87"/>
      <c r="U116" s="87"/>
      <c r="V116" s="87"/>
      <c r="W116" s="87"/>
      <c r="X116" s="87"/>
      <c r="Y116" s="87"/>
      <c r="Z116" s="87"/>
      <c r="AA116" s="87"/>
      <c r="AB116" s="87"/>
      <c r="AC116" s="87"/>
      <c r="AD116" s="87"/>
      <c r="AE116" s="87"/>
      <c r="AF116" s="87"/>
      <c r="AG116" s="87"/>
      <c r="AH116" s="87"/>
      <c r="AI116" s="87"/>
      <c r="AJ116" s="87"/>
      <c r="AK116" s="87"/>
      <c r="AL116" s="87"/>
      <c r="AM116" s="87"/>
      <c r="AN116" s="87"/>
      <c r="AO116" s="87"/>
      <c r="AP116" s="87"/>
      <c r="AQ116" s="87"/>
      <c r="AR116" s="87"/>
      <c r="AS116" s="87"/>
    </row>
    <row r="117" spans="1:45">
      <c r="A117" s="87"/>
      <c r="B117" s="87"/>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7"/>
      <c r="AA117" s="87"/>
      <c r="AB117" s="87"/>
      <c r="AC117" s="87"/>
      <c r="AD117" s="87"/>
      <c r="AE117" s="87"/>
      <c r="AF117" s="87"/>
      <c r="AG117" s="87"/>
      <c r="AH117" s="87"/>
      <c r="AI117" s="87"/>
      <c r="AJ117" s="87"/>
      <c r="AK117" s="87"/>
      <c r="AL117" s="87"/>
      <c r="AM117" s="87"/>
      <c r="AN117" s="87"/>
      <c r="AO117" s="87"/>
      <c r="AP117" s="87"/>
      <c r="AQ117" s="87"/>
      <c r="AR117" s="87"/>
      <c r="AS117" s="87"/>
    </row>
    <row r="118" spans="1:45">
      <c r="A118" s="87"/>
      <c r="B118" s="87"/>
      <c r="C118" s="87"/>
      <c r="D118" s="87"/>
      <c r="E118" s="87"/>
      <c r="F118" s="87"/>
      <c r="G118" s="87"/>
      <c r="H118" s="87"/>
      <c r="I118" s="87"/>
      <c r="J118" s="87"/>
      <c r="K118" s="87"/>
      <c r="L118" s="87"/>
      <c r="M118" s="87"/>
      <c r="N118" s="87"/>
      <c r="O118" s="87"/>
      <c r="P118" s="87"/>
      <c r="Q118" s="87"/>
      <c r="R118" s="87"/>
      <c r="S118" s="87"/>
      <c r="T118" s="87"/>
      <c r="U118" s="87"/>
      <c r="V118" s="87"/>
      <c r="W118" s="87"/>
      <c r="X118" s="87"/>
      <c r="Y118" s="87"/>
      <c r="Z118" s="87"/>
      <c r="AA118" s="87"/>
      <c r="AB118" s="87"/>
      <c r="AC118" s="87"/>
      <c r="AD118" s="87"/>
      <c r="AE118" s="87"/>
      <c r="AF118" s="87"/>
      <c r="AG118" s="87"/>
      <c r="AH118" s="87"/>
      <c r="AI118" s="87"/>
      <c r="AJ118" s="87"/>
      <c r="AK118" s="87"/>
      <c r="AL118" s="87"/>
      <c r="AM118" s="87"/>
      <c r="AN118" s="87"/>
      <c r="AO118" s="87"/>
      <c r="AP118" s="87"/>
      <c r="AQ118" s="87"/>
      <c r="AR118" s="87"/>
      <c r="AS118" s="87"/>
    </row>
    <row r="119" spans="1:45">
      <c r="A119" s="87"/>
      <c r="B119" s="87"/>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7"/>
      <c r="AA119" s="87"/>
      <c r="AB119" s="87"/>
      <c r="AC119" s="87"/>
      <c r="AD119" s="87"/>
      <c r="AE119" s="87"/>
      <c r="AF119" s="87"/>
      <c r="AG119" s="87"/>
      <c r="AH119" s="87"/>
      <c r="AI119" s="87"/>
      <c r="AJ119" s="87"/>
      <c r="AK119" s="87"/>
      <c r="AL119" s="87"/>
      <c r="AM119" s="87"/>
      <c r="AN119" s="87"/>
      <c r="AO119" s="87"/>
      <c r="AP119" s="87"/>
      <c r="AQ119" s="87"/>
      <c r="AR119" s="87"/>
      <c r="AS119" s="87"/>
    </row>
    <row r="120" spans="1:45">
      <c r="A120" s="87"/>
      <c r="B120" s="87"/>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7"/>
      <c r="AA120" s="87"/>
      <c r="AB120" s="87"/>
      <c r="AC120" s="87"/>
      <c r="AD120" s="87"/>
      <c r="AE120" s="87"/>
      <c r="AF120" s="87"/>
      <c r="AG120" s="87"/>
      <c r="AH120" s="87"/>
      <c r="AI120" s="87"/>
      <c r="AJ120" s="87"/>
      <c r="AK120" s="87"/>
      <c r="AL120" s="87"/>
      <c r="AM120" s="87"/>
      <c r="AN120" s="87"/>
      <c r="AO120" s="87"/>
      <c r="AP120" s="87"/>
      <c r="AQ120" s="87"/>
      <c r="AR120" s="87"/>
      <c r="AS120" s="87"/>
    </row>
    <row r="121" spans="1:45">
      <c r="A121" s="87"/>
      <c r="B121" s="87"/>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7"/>
      <c r="AA121" s="87"/>
      <c r="AB121" s="87"/>
      <c r="AC121" s="87"/>
      <c r="AD121" s="87"/>
      <c r="AE121" s="87"/>
      <c r="AF121" s="87"/>
      <c r="AG121" s="87"/>
      <c r="AH121" s="87"/>
      <c r="AI121" s="87"/>
      <c r="AJ121" s="87"/>
      <c r="AK121" s="87"/>
      <c r="AL121" s="87"/>
      <c r="AM121" s="87"/>
      <c r="AN121" s="87"/>
      <c r="AO121" s="87"/>
      <c r="AP121" s="87"/>
      <c r="AQ121" s="87"/>
      <c r="AR121" s="87"/>
      <c r="AS121" s="87"/>
    </row>
    <row r="122" spans="1:45">
      <c r="A122" s="87"/>
      <c r="B122" s="87"/>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7"/>
      <c r="AA122" s="87"/>
      <c r="AB122" s="87"/>
      <c r="AC122" s="87"/>
      <c r="AD122" s="87"/>
      <c r="AE122" s="87"/>
      <c r="AF122" s="87"/>
      <c r="AG122" s="87"/>
      <c r="AH122" s="87"/>
      <c r="AI122" s="87"/>
      <c r="AJ122" s="87"/>
      <c r="AK122" s="87"/>
      <c r="AL122" s="87"/>
      <c r="AM122" s="87"/>
      <c r="AN122" s="87"/>
      <c r="AO122" s="87"/>
      <c r="AP122" s="87"/>
      <c r="AQ122" s="87"/>
      <c r="AR122" s="87"/>
      <c r="AS122" s="87"/>
    </row>
    <row r="123" spans="1:45">
      <c r="A123" s="87"/>
      <c r="B123" s="87"/>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7"/>
      <c r="AA123" s="87"/>
      <c r="AB123" s="87"/>
      <c r="AC123" s="87"/>
      <c r="AD123" s="87"/>
      <c r="AE123" s="87"/>
      <c r="AF123" s="87"/>
      <c r="AG123" s="87"/>
      <c r="AH123" s="87"/>
      <c r="AI123" s="87"/>
      <c r="AJ123" s="87"/>
      <c r="AK123" s="87"/>
      <c r="AL123" s="87"/>
      <c r="AM123" s="87"/>
      <c r="AN123" s="87"/>
      <c r="AO123" s="87"/>
      <c r="AP123" s="87"/>
      <c r="AQ123" s="87"/>
      <c r="AR123" s="87"/>
      <c r="AS123" s="87"/>
    </row>
    <row r="124" spans="1:45">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row>
    <row r="125" spans="1:45">
      <c r="A125" s="87"/>
      <c r="B125" s="87"/>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7"/>
      <c r="AG125" s="87"/>
      <c r="AH125" s="87"/>
      <c r="AI125" s="87"/>
      <c r="AJ125" s="87"/>
      <c r="AK125" s="87"/>
      <c r="AL125" s="87"/>
      <c r="AM125" s="87"/>
      <c r="AN125" s="87"/>
      <c r="AO125" s="87"/>
      <c r="AP125" s="87"/>
      <c r="AQ125" s="87"/>
      <c r="AR125" s="87"/>
      <c r="AS125" s="87"/>
    </row>
    <row r="126" spans="1:45">
      <c r="A126" s="87"/>
      <c r="B126" s="87"/>
      <c r="C126" s="87"/>
      <c r="D126" s="87"/>
      <c r="E126" s="87"/>
      <c r="F126" s="87"/>
      <c r="G126" s="87"/>
      <c r="H126" s="87"/>
      <c r="I126" s="87"/>
      <c r="J126" s="87"/>
      <c r="K126" s="87"/>
      <c r="L126" s="87"/>
      <c r="M126" s="87"/>
      <c r="N126" s="87"/>
      <c r="O126" s="87"/>
      <c r="P126" s="87"/>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S126" s="87"/>
    </row>
    <row r="127" spans="1:45">
      <c r="A127" s="87"/>
      <c r="B127" s="87"/>
      <c r="C127" s="87"/>
      <c r="D127" s="87"/>
      <c r="E127" s="87"/>
      <c r="F127" s="87"/>
      <c r="G127" s="87"/>
      <c r="H127" s="87"/>
      <c r="I127" s="87"/>
      <c r="J127" s="87"/>
      <c r="K127" s="87"/>
      <c r="L127" s="87"/>
      <c r="M127" s="87"/>
      <c r="N127" s="87"/>
      <c r="O127" s="87"/>
      <c r="P127" s="87"/>
      <c r="Q127" s="87"/>
      <c r="R127" s="87"/>
      <c r="S127" s="87"/>
      <c r="T127" s="87"/>
      <c r="U127" s="87"/>
      <c r="V127" s="87"/>
      <c r="W127" s="87"/>
      <c r="X127" s="87"/>
      <c r="Y127" s="87"/>
      <c r="Z127" s="87"/>
      <c r="AA127" s="87"/>
      <c r="AB127" s="87"/>
      <c r="AC127" s="87"/>
      <c r="AD127" s="87"/>
      <c r="AE127" s="87"/>
      <c r="AF127" s="87"/>
      <c r="AG127" s="87"/>
      <c r="AH127" s="87"/>
      <c r="AI127" s="87"/>
      <c r="AJ127" s="87"/>
      <c r="AK127" s="87"/>
      <c r="AL127" s="87"/>
      <c r="AM127" s="87"/>
      <c r="AN127" s="87"/>
      <c r="AO127" s="87"/>
      <c r="AP127" s="87"/>
      <c r="AQ127" s="87"/>
      <c r="AR127" s="87"/>
      <c r="AS127" s="87"/>
    </row>
    <row r="128" spans="1:45">
      <c r="A128" s="87"/>
      <c r="B128" s="87"/>
      <c r="C128" s="87"/>
      <c r="D128" s="87"/>
      <c r="E128" s="87"/>
      <c r="F128" s="87"/>
      <c r="G128" s="87"/>
      <c r="H128" s="87"/>
      <c r="I128" s="87"/>
      <c r="J128" s="87"/>
      <c r="K128" s="87"/>
      <c r="L128" s="87"/>
      <c r="M128" s="87"/>
      <c r="N128" s="87"/>
      <c r="O128" s="87"/>
      <c r="P128" s="87"/>
      <c r="Q128" s="87"/>
      <c r="R128" s="87"/>
      <c r="S128" s="87"/>
      <c r="T128" s="87"/>
      <c r="U128" s="87"/>
      <c r="V128" s="87"/>
      <c r="W128" s="87"/>
      <c r="X128" s="87"/>
      <c r="Y128" s="87"/>
      <c r="Z128" s="87"/>
      <c r="AA128" s="87"/>
      <c r="AB128" s="87"/>
      <c r="AC128" s="87"/>
      <c r="AD128" s="87"/>
      <c r="AE128" s="87"/>
      <c r="AF128" s="87"/>
      <c r="AG128" s="87"/>
      <c r="AH128" s="87"/>
      <c r="AI128" s="87"/>
      <c r="AJ128" s="87"/>
      <c r="AK128" s="87"/>
      <c r="AL128" s="87"/>
      <c r="AM128" s="87"/>
      <c r="AN128" s="87"/>
      <c r="AO128" s="87"/>
      <c r="AP128" s="87"/>
      <c r="AQ128" s="87"/>
      <c r="AR128" s="87"/>
      <c r="AS128" s="87"/>
    </row>
    <row r="129" spans="1:45">
      <c r="A129" s="87"/>
      <c r="B129" s="87"/>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7"/>
      <c r="AG129" s="87"/>
      <c r="AH129" s="87"/>
      <c r="AI129" s="87"/>
      <c r="AJ129" s="87"/>
      <c r="AK129" s="87"/>
      <c r="AL129" s="87"/>
      <c r="AM129" s="87"/>
      <c r="AN129" s="87"/>
      <c r="AO129" s="87"/>
      <c r="AP129" s="87"/>
      <c r="AQ129" s="87"/>
      <c r="AR129" s="87"/>
      <c r="AS129" s="87"/>
    </row>
    <row r="130" spans="1:45">
      <c r="A130" s="87"/>
      <c r="B130" s="87"/>
      <c r="C130" s="87"/>
      <c r="D130" s="87"/>
      <c r="E130" s="87"/>
      <c r="F130" s="87"/>
      <c r="G130" s="87"/>
      <c r="H130" s="87"/>
      <c r="I130" s="87"/>
      <c r="J130" s="87"/>
      <c r="K130" s="87"/>
      <c r="L130" s="87"/>
      <c r="M130" s="87"/>
      <c r="N130" s="87"/>
      <c r="O130" s="87"/>
      <c r="P130" s="87"/>
      <c r="Q130" s="87"/>
      <c r="R130" s="87"/>
      <c r="S130" s="87"/>
      <c r="T130" s="87"/>
      <c r="U130" s="87"/>
      <c r="V130" s="87"/>
      <c r="W130" s="87"/>
      <c r="X130" s="87"/>
      <c r="Y130" s="87"/>
      <c r="Z130" s="87"/>
      <c r="AA130" s="87"/>
      <c r="AB130" s="87"/>
      <c r="AC130" s="87"/>
      <c r="AD130" s="87"/>
      <c r="AE130" s="87"/>
      <c r="AF130" s="87"/>
      <c r="AG130" s="87"/>
      <c r="AH130" s="87"/>
      <c r="AI130" s="87"/>
      <c r="AJ130" s="87"/>
      <c r="AK130" s="87"/>
      <c r="AL130" s="87"/>
      <c r="AM130" s="87"/>
      <c r="AN130" s="87"/>
      <c r="AO130" s="87"/>
      <c r="AP130" s="87"/>
      <c r="AQ130" s="87"/>
      <c r="AR130" s="87"/>
      <c r="AS130" s="87"/>
    </row>
    <row r="131" spans="1:45">
      <c r="A131" s="87"/>
      <c r="B131" s="87"/>
      <c r="C131" s="87"/>
      <c r="D131" s="87"/>
      <c r="E131" s="87"/>
      <c r="F131" s="87"/>
      <c r="G131" s="87"/>
      <c r="H131" s="87"/>
      <c r="I131" s="87"/>
      <c r="J131" s="87"/>
      <c r="K131" s="87"/>
      <c r="L131" s="87"/>
      <c r="M131" s="87"/>
      <c r="N131" s="87"/>
      <c r="O131" s="87"/>
      <c r="P131" s="87"/>
      <c r="Q131" s="87"/>
      <c r="R131" s="87"/>
      <c r="S131" s="87"/>
      <c r="T131" s="87"/>
      <c r="U131" s="87"/>
      <c r="V131" s="87"/>
      <c r="W131" s="87"/>
      <c r="X131" s="87"/>
      <c r="Y131" s="87"/>
      <c r="Z131" s="87"/>
      <c r="AA131" s="87"/>
      <c r="AB131" s="87"/>
      <c r="AC131" s="87"/>
      <c r="AD131" s="87"/>
      <c r="AE131" s="87"/>
      <c r="AF131" s="87"/>
      <c r="AG131" s="87"/>
      <c r="AH131" s="87"/>
      <c r="AI131" s="87"/>
      <c r="AJ131" s="87"/>
      <c r="AK131" s="87"/>
      <c r="AL131" s="87"/>
      <c r="AM131" s="87"/>
      <c r="AN131" s="87"/>
      <c r="AO131" s="87"/>
      <c r="AP131" s="87"/>
      <c r="AQ131" s="87"/>
      <c r="AR131" s="87"/>
      <c r="AS131" s="87"/>
    </row>
    <row r="132" spans="1:45">
      <c r="A132" s="87"/>
      <c r="B132" s="87"/>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7"/>
      <c r="AG132" s="87"/>
      <c r="AH132" s="87"/>
      <c r="AI132" s="87"/>
      <c r="AJ132" s="87"/>
      <c r="AK132" s="87"/>
      <c r="AL132" s="87"/>
      <c r="AM132" s="87"/>
      <c r="AN132" s="87"/>
      <c r="AO132" s="87"/>
      <c r="AP132" s="87"/>
      <c r="AQ132" s="87"/>
      <c r="AR132" s="87"/>
      <c r="AS132" s="87"/>
    </row>
    <row r="133" spans="1:45">
      <c r="A133" s="87"/>
      <c r="B133" s="87"/>
      <c r="C133" s="87"/>
      <c r="D133" s="87"/>
      <c r="E133" s="87"/>
      <c r="F133" s="87"/>
      <c r="G133" s="87"/>
      <c r="H133" s="87"/>
      <c r="I133" s="87"/>
      <c r="J133" s="87"/>
      <c r="K133" s="87"/>
      <c r="L133" s="87"/>
      <c r="M133" s="87"/>
      <c r="N133" s="87"/>
      <c r="O133" s="87"/>
      <c r="P133" s="87"/>
      <c r="Q133" s="87"/>
      <c r="R133" s="87"/>
      <c r="S133" s="87"/>
      <c r="T133" s="87"/>
      <c r="U133" s="87"/>
      <c r="V133" s="87"/>
      <c r="W133" s="87"/>
      <c r="X133" s="87"/>
      <c r="Y133" s="87"/>
      <c r="Z133" s="87"/>
      <c r="AA133" s="87"/>
      <c r="AB133" s="87"/>
      <c r="AC133" s="87"/>
      <c r="AD133" s="87"/>
      <c r="AE133" s="87"/>
      <c r="AF133" s="87"/>
      <c r="AG133" s="87"/>
      <c r="AH133" s="87"/>
      <c r="AI133" s="87"/>
      <c r="AJ133" s="87"/>
      <c r="AK133" s="87"/>
      <c r="AL133" s="87"/>
      <c r="AM133" s="87"/>
      <c r="AN133" s="87"/>
      <c r="AO133" s="87"/>
      <c r="AP133" s="87"/>
      <c r="AQ133" s="87"/>
      <c r="AR133" s="87"/>
      <c r="AS133" s="87"/>
    </row>
    <row r="134" spans="1:45">
      <c r="A134" s="87"/>
      <c r="B134" s="87"/>
      <c r="C134" s="87"/>
      <c r="D134" s="87"/>
      <c r="E134" s="87"/>
      <c r="F134" s="87"/>
      <c r="G134" s="87"/>
      <c r="H134" s="87"/>
      <c r="I134" s="87"/>
      <c r="J134" s="87"/>
      <c r="K134" s="87"/>
      <c r="L134" s="87"/>
      <c r="M134" s="87"/>
      <c r="N134" s="87"/>
      <c r="O134" s="87"/>
      <c r="P134" s="87"/>
      <c r="Q134" s="87"/>
      <c r="R134" s="87"/>
      <c r="S134" s="87"/>
      <c r="T134" s="87"/>
      <c r="U134" s="87"/>
      <c r="V134" s="87"/>
      <c r="W134" s="87"/>
      <c r="X134" s="87"/>
      <c r="Y134" s="87"/>
      <c r="Z134" s="87"/>
      <c r="AA134" s="87"/>
      <c r="AB134" s="87"/>
      <c r="AC134" s="87"/>
      <c r="AD134" s="87"/>
      <c r="AE134" s="87"/>
      <c r="AF134" s="87"/>
      <c r="AG134" s="87"/>
      <c r="AH134" s="87"/>
      <c r="AI134" s="87"/>
      <c r="AJ134" s="87"/>
      <c r="AK134" s="87"/>
      <c r="AL134" s="87"/>
      <c r="AM134" s="87"/>
      <c r="AN134" s="87"/>
      <c r="AO134" s="87"/>
      <c r="AP134" s="87"/>
      <c r="AQ134" s="87"/>
      <c r="AR134" s="87"/>
      <c r="AS134" s="87"/>
    </row>
    <row r="135" spans="1:45">
      <c r="A135" s="87"/>
      <c r="B135" s="87"/>
      <c r="C135" s="87"/>
      <c r="D135" s="87"/>
      <c r="E135" s="87"/>
      <c r="F135" s="87"/>
      <c r="G135" s="87"/>
      <c r="H135" s="87"/>
      <c r="I135" s="87"/>
      <c r="J135" s="87"/>
      <c r="K135" s="87"/>
      <c r="L135" s="87"/>
      <c r="M135" s="87"/>
      <c r="N135" s="87"/>
      <c r="O135" s="87"/>
      <c r="P135" s="87"/>
      <c r="Q135" s="87"/>
      <c r="R135" s="87"/>
      <c r="S135" s="87"/>
      <c r="T135" s="87"/>
      <c r="U135" s="87"/>
      <c r="V135" s="87"/>
      <c r="W135" s="87"/>
      <c r="X135" s="87"/>
      <c r="Y135" s="87"/>
      <c r="Z135" s="87"/>
      <c r="AA135" s="87"/>
      <c r="AB135" s="87"/>
      <c r="AC135" s="87"/>
      <c r="AD135" s="87"/>
      <c r="AE135" s="87"/>
      <c r="AF135" s="87"/>
      <c r="AG135" s="87"/>
      <c r="AH135" s="87"/>
      <c r="AI135" s="87"/>
      <c r="AJ135" s="87"/>
      <c r="AK135" s="87"/>
      <c r="AL135" s="87"/>
      <c r="AM135" s="87"/>
      <c r="AN135" s="87"/>
      <c r="AO135" s="87"/>
      <c r="AP135" s="87"/>
      <c r="AQ135" s="87"/>
      <c r="AR135" s="87"/>
      <c r="AS135" s="87"/>
    </row>
    <row r="136" spans="1:45">
      <c r="A136" s="87"/>
      <c r="B136" s="87"/>
      <c r="C136" s="87"/>
      <c r="D136" s="87"/>
      <c r="E136" s="87"/>
      <c r="F136" s="87"/>
      <c r="G136" s="87"/>
      <c r="H136" s="87"/>
      <c r="I136" s="87"/>
      <c r="J136" s="87"/>
      <c r="K136" s="87"/>
      <c r="L136" s="87"/>
      <c r="M136" s="87"/>
      <c r="N136" s="87"/>
      <c r="O136" s="87"/>
      <c r="P136" s="87"/>
      <c r="Q136" s="87"/>
      <c r="R136" s="87"/>
      <c r="S136" s="87"/>
      <c r="T136" s="87"/>
      <c r="U136" s="87"/>
      <c r="V136" s="87"/>
      <c r="W136" s="87"/>
      <c r="X136" s="87"/>
      <c r="Y136" s="87"/>
      <c r="Z136" s="87"/>
      <c r="AA136" s="87"/>
      <c r="AB136" s="87"/>
      <c r="AC136" s="87"/>
      <c r="AD136" s="87"/>
      <c r="AE136" s="87"/>
      <c r="AF136" s="87"/>
      <c r="AG136" s="87"/>
      <c r="AH136" s="87"/>
      <c r="AI136" s="87"/>
      <c r="AJ136" s="87"/>
      <c r="AK136" s="87"/>
      <c r="AL136" s="87"/>
      <c r="AM136" s="87"/>
      <c r="AN136" s="87"/>
      <c r="AO136" s="87"/>
      <c r="AP136" s="87"/>
      <c r="AQ136" s="87"/>
      <c r="AR136" s="87"/>
      <c r="AS136" s="87"/>
    </row>
    <row r="137" spans="1:45">
      <c r="A137" s="87"/>
      <c r="B137" s="87"/>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c r="AA137" s="87"/>
      <c r="AB137" s="87"/>
      <c r="AC137" s="87"/>
      <c r="AD137" s="87"/>
      <c r="AE137" s="87"/>
      <c r="AF137" s="87"/>
      <c r="AG137" s="87"/>
      <c r="AH137" s="87"/>
      <c r="AI137" s="87"/>
      <c r="AJ137" s="87"/>
      <c r="AK137" s="87"/>
      <c r="AL137" s="87"/>
      <c r="AM137" s="87"/>
      <c r="AN137" s="87"/>
      <c r="AO137" s="87"/>
      <c r="AP137" s="87"/>
      <c r="AQ137" s="87"/>
      <c r="AR137" s="87"/>
      <c r="AS137" s="87"/>
    </row>
    <row r="138" spans="1:45">
      <c r="A138" s="87"/>
      <c r="B138" s="87"/>
      <c r="C138" s="87"/>
      <c r="D138" s="87"/>
      <c r="E138" s="87"/>
      <c r="F138" s="87"/>
      <c r="G138" s="87"/>
      <c r="H138" s="87"/>
      <c r="I138" s="87"/>
      <c r="J138" s="87"/>
      <c r="K138" s="87"/>
      <c r="L138" s="87"/>
      <c r="M138" s="87"/>
      <c r="N138" s="87"/>
      <c r="O138" s="87"/>
      <c r="P138" s="87"/>
      <c r="Q138" s="87"/>
      <c r="R138" s="87"/>
      <c r="S138" s="87"/>
      <c r="T138" s="87"/>
      <c r="U138" s="87"/>
      <c r="V138" s="87"/>
      <c r="W138" s="87"/>
      <c r="X138" s="87"/>
      <c r="Y138" s="87"/>
      <c r="Z138" s="87"/>
      <c r="AA138" s="87"/>
      <c r="AB138" s="87"/>
      <c r="AC138" s="87"/>
      <c r="AD138" s="87"/>
      <c r="AE138" s="87"/>
      <c r="AF138" s="87"/>
      <c r="AG138" s="87"/>
      <c r="AH138" s="87"/>
      <c r="AI138" s="87"/>
      <c r="AJ138" s="87"/>
      <c r="AK138" s="87"/>
      <c r="AL138" s="87"/>
      <c r="AM138" s="87"/>
      <c r="AN138" s="87"/>
      <c r="AO138" s="87"/>
      <c r="AP138" s="87"/>
      <c r="AQ138" s="87"/>
      <c r="AR138" s="87"/>
      <c r="AS138" s="87"/>
    </row>
    <row r="139" spans="1:45">
      <c r="A139" s="87"/>
      <c r="B139" s="87"/>
      <c r="C139" s="87"/>
      <c r="D139" s="87"/>
      <c r="E139" s="87"/>
      <c r="F139" s="87"/>
      <c r="G139" s="87"/>
      <c r="H139" s="87"/>
      <c r="I139" s="87"/>
      <c r="J139" s="87"/>
      <c r="K139" s="87"/>
      <c r="L139" s="87"/>
      <c r="M139" s="87"/>
      <c r="N139" s="87"/>
      <c r="O139" s="87"/>
      <c r="P139" s="87"/>
      <c r="Q139" s="87"/>
      <c r="R139" s="87"/>
      <c r="S139" s="87"/>
      <c r="T139" s="87"/>
      <c r="U139" s="87"/>
      <c r="V139" s="87"/>
      <c r="W139" s="87"/>
      <c r="X139" s="87"/>
      <c r="Y139" s="87"/>
      <c r="Z139" s="87"/>
      <c r="AA139" s="87"/>
      <c r="AB139" s="87"/>
      <c r="AC139" s="87"/>
      <c r="AD139" s="87"/>
      <c r="AE139" s="87"/>
      <c r="AF139" s="87"/>
      <c r="AG139" s="87"/>
      <c r="AH139" s="87"/>
      <c r="AI139" s="87"/>
      <c r="AJ139" s="87"/>
      <c r="AK139" s="87"/>
      <c r="AL139" s="87"/>
      <c r="AM139" s="87"/>
      <c r="AN139" s="87"/>
      <c r="AO139" s="87"/>
      <c r="AP139" s="87"/>
      <c r="AQ139" s="87"/>
      <c r="AR139" s="87"/>
      <c r="AS139" s="87"/>
    </row>
    <row r="140" spans="1:45">
      <c r="A140" s="87"/>
      <c r="B140" s="87"/>
      <c r="C140" s="87"/>
      <c r="D140" s="87"/>
      <c r="E140" s="87"/>
      <c r="F140" s="87"/>
      <c r="G140" s="87"/>
      <c r="H140" s="87"/>
      <c r="I140" s="87"/>
      <c r="J140" s="87"/>
      <c r="K140" s="87"/>
      <c r="L140" s="87"/>
      <c r="M140" s="87"/>
      <c r="N140" s="87"/>
      <c r="O140" s="87"/>
      <c r="P140" s="87"/>
      <c r="Q140" s="87"/>
      <c r="R140" s="87"/>
      <c r="S140" s="87"/>
      <c r="T140" s="87"/>
      <c r="U140" s="87"/>
      <c r="V140" s="87"/>
      <c r="W140" s="87"/>
      <c r="X140" s="87"/>
      <c r="Y140" s="87"/>
      <c r="Z140" s="87"/>
      <c r="AA140" s="87"/>
      <c r="AB140" s="87"/>
      <c r="AC140" s="87"/>
      <c r="AD140" s="87"/>
      <c r="AE140" s="87"/>
      <c r="AF140" s="87"/>
      <c r="AG140" s="87"/>
      <c r="AH140" s="87"/>
      <c r="AI140" s="87"/>
      <c r="AJ140" s="87"/>
      <c r="AK140" s="87"/>
      <c r="AL140" s="87"/>
      <c r="AM140" s="87"/>
      <c r="AN140" s="87"/>
      <c r="AO140" s="87"/>
      <c r="AP140" s="87"/>
      <c r="AQ140" s="87"/>
      <c r="AR140" s="87"/>
      <c r="AS140" s="87"/>
    </row>
    <row r="141" spans="1:45">
      <c r="A141" s="87"/>
      <c r="B141" s="87"/>
      <c r="C141" s="87"/>
      <c r="D141" s="87"/>
      <c r="E141" s="87"/>
      <c r="F141" s="87"/>
      <c r="G141" s="87"/>
      <c r="H141" s="87"/>
      <c r="I141" s="87"/>
      <c r="J141" s="87"/>
      <c r="K141" s="87"/>
      <c r="L141" s="87"/>
      <c r="M141" s="87"/>
      <c r="N141" s="87"/>
      <c r="O141" s="87"/>
      <c r="P141" s="87"/>
      <c r="Q141" s="87"/>
      <c r="R141" s="87"/>
      <c r="S141" s="87"/>
      <c r="T141" s="87"/>
      <c r="U141" s="87"/>
      <c r="V141" s="87"/>
      <c r="W141" s="87"/>
      <c r="X141" s="87"/>
      <c r="Y141" s="87"/>
      <c r="Z141" s="87"/>
      <c r="AA141" s="87"/>
      <c r="AB141" s="87"/>
      <c r="AC141" s="87"/>
      <c r="AD141" s="87"/>
      <c r="AE141" s="87"/>
      <c r="AF141" s="87"/>
      <c r="AG141" s="87"/>
      <c r="AH141" s="87"/>
      <c r="AI141" s="87"/>
      <c r="AJ141" s="87"/>
      <c r="AK141" s="87"/>
      <c r="AL141" s="87"/>
      <c r="AM141" s="87"/>
      <c r="AN141" s="87"/>
      <c r="AO141" s="87"/>
      <c r="AP141" s="87"/>
      <c r="AQ141" s="87"/>
      <c r="AR141" s="87"/>
      <c r="AS141" s="87"/>
    </row>
    <row r="142" spans="1:45">
      <c r="A142" s="87"/>
      <c r="B142" s="87"/>
      <c r="C142" s="87"/>
      <c r="D142" s="87"/>
      <c r="E142" s="87"/>
      <c r="F142" s="87"/>
      <c r="G142" s="87"/>
      <c r="H142" s="87"/>
      <c r="I142" s="87"/>
      <c r="J142" s="87"/>
      <c r="K142" s="87"/>
      <c r="L142" s="87"/>
      <c r="M142" s="87"/>
      <c r="N142" s="87"/>
      <c r="O142" s="87"/>
      <c r="P142" s="87"/>
      <c r="Q142" s="87"/>
      <c r="R142" s="87"/>
      <c r="S142" s="87"/>
      <c r="T142" s="87"/>
      <c r="U142" s="87"/>
      <c r="V142" s="87"/>
      <c r="W142" s="87"/>
      <c r="X142" s="87"/>
      <c r="Y142" s="87"/>
      <c r="Z142" s="87"/>
      <c r="AA142" s="87"/>
      <c r="AB142" s="87"/>
      <c r="AC142" s="87"/>
      <c r="AD142" s="87"/>
      <c r="AE142" s="87"/>
      <c r="AF142" s="87"/>
      <c r="AG142" s="87"/>
      <c r="AH142" s="87"/>
      <c r="AI142" s="87"/>
      <c r="AJ142" s="87"/>
      <c r="AK142" s="87"/>
      <c r="AL142" s="87"/>
      <c r="AM142" s="87"/>
      <c r="AN142" s="87"/>
      <c r="AO142" s="87"/>
      <c r="AP142" s="87"/>
      <c r="AQ142" s="87"/>
      <c r="AR142" s="87"/>
      <c r="AS142" s="87"/>
    </row>
    <row r="143" spans="1:45">
      <c r="A143" s="87"/>
      <c r="B143" s="87"/>
      <c r="C143" s="87"/>
      <c r="D143" s="87"/>
      <c r="E143" s="87"/>
      <c r="F143" s="87"/>
      <c r="G143" s="87"/>
      <c r="H143" s="87"/>
      <c r="I143" s="87"/>
      <c r="J143" s="87"/>
      <c r="K143" s="87"/>
      <c r="L143" s="87"/>
      <c r="M143" s="87"/>
      <c r="N143" s="87"/>
      <c r="O143" s="87"/>
      <c r="P143" s="87"/>
      <c r="Q143" s="87"/>
      <c r="R143" s="87"/>
      <c r="S143" s="87"/>
      <c r="T143" s="87"/>
      <c r="U143" s="87"/>
      <c r="V143" s="87"/>
      <c r="W143" s="87"/>
      <c r="X143" s="87"/>
      <c r="Y143" s="87"/>
      <c r="Z143" s="87"/>
      <c r="AA143" s="87"/>
      <c r="AB143" s="87"/>
      <c r="AC143" s="87"/>
      <c r="AD143" s="87"/>
      <c r="AE143" s="87"/>
      <c r="AF143" s="87"/>
      <c r="AG143" s="87"/>
      <c r="AH143" s="87"/>
      <c r="AI143" s="87"/>
      <c r="AJ143" s="87"/>
      <c r="AK143" s="87"/>
      <c r="AL143" s="87"/>
      <c r="AM143" s="87"/>
      <c r="AN143" s="87"/>
      <c r="AO143" s="87"/>
      <c r="AP143" s="87"/>
      <c r="AQ143" s="87"/>
      <c r="AR143" s="87"/>
      <c r="AS143" s="87"/>
    </row>
    <row r="144" spans="1:45">
      <c r="A144" s="87"/>
      <c r="B144" s="87"/>
      <c r="C144" s="87"/>
      <c r="D144" s="87"/>
      <c r="E144" s="87"/>
      <c r="F144" s="87"/>
      <c r="G144" s="87"/>
      <c r="H144" s="87"/>
      <c r="I144" s="87"/>
      <c r="J144" s="87"/>
      <c r="K144" s="87"/>
      <c r="L144" s="87"/>
      <c r="M144" s="87"/>
      <c r="N144" s="87"/>
      <c r="O144" s="87"/>
      <c r="P144" s="87"/>
      <c r="Q144" s="87"/>
      <c r="R144" s="87"/>
      <c r="S144" s="87"/>
      <c r="T144" s="87"/>
      <c r="U144" s="87"/>
      <c r="V144" s="87"/>
      <c r="W144" s="87"/>
      <c r="X144" s="87"/>
      <c r="Y144" s="87"/>
      <c r="Z144" s="87"/>
      <c r="AA144" s="87"/>
      <c r="AB144" s="87"/>
      <c r="AC144" s="87"/>
      <c r="AD144" s="87"/>
      <c r="AE144" s="87"/>
      <c r="AF144" s="87"/>
      <c r="AG144" s="87"/>
      <c r="AH144" s="87"/>
      <c r="AI144" s="87"/>
      <c r="AJ144" s="87"/>
      <c r="AK144" s="87"/>
      <c r="AL144" s="87"/>
      <c r="AM144" s="87"/>
      <c r="AN144" s="87"/>
      <c r="AO144" s="87"/>
      <c r="AP144" s="87"/>
      <c r="AQ144" s="87"/>
      <c r="AR144" s="87"/>
      <c r="AS144" s="87"/>
    </row>
    <row r="145" spans="1:45">
      <c r="A145" s="87"/>
      <c r="B145" s="87"/>
      <c r="C145" s="87"/>
      <c r="D145" s="87"/>
      <c r="E145" s="87"/>
      <c r="F145" s="87"/>
      <c r="G145" s="87"/>
      <c r="H145" s="87"/>
      <c r="I145" s="87"/>
      <c r="J145" s="87"/>
      <c r="K145" s="87"/>
      <c r="L145" s="87"/>
      <c r="M145" s="87"/>
      <c r="N145" s="87"/>
      <c r="O145" s="87"/>
      <c r="P145" s="87"/>
      <c r="Q145" s="87"/>
      <c r="R145" s="87"/>
      <c r="S145" s="87"/>
      <c r="T145" s="87"/>
      <c r="U145" s="87"/>
      <c r="V145" s="87"/>
      <c r="W145" s="87"/>
      <c r="X145" s="87"/>
      <c r="Y145" s="87"/>
      <c r="Z145" s="87"/>
      <c r="AA145" s="87"/>
      <c r="AB145" s="87"/>
      <c r="AC145" s="87"/>
      <c r="AD145" s="87"/>
      <c r="AE145" s="87"/>
      <c r="AF145" s="87"/>
      <c r="AG145" s="87"/>
      <c r="AH145" s="87"/>
      <c r="AI145" s="87"/>
      <c r="AJ145" s="87"/>
      <c r="AK145" s="87"/>
      <c r="AL145" s="87"/>
      <c r="AM145" s="87"/>
      <c r="AN145" s="87"/>
      <c r="AO145" s="87"/>
      <c r="AP145" s="87"/>
      <c r="AQ145" s="87"/>
      <c r="AR145" s="87"/>
      <c r="AS145" s="87"/>
    </row>
    <row r="146" spans="1:45">
      <c r="A146" s="87"/>
      <c r="B146" s="87"/>
      <c r="C146" s="87"/>
      <c r="D146" s="87"/>
      <c r="E146" s="87"/>
      <c r="F146" s="87"/>
      <c r="G146" s="87"/>
      <c r="H146" s="87"/>
      <c r="I146" s="87"/>
      <c r="J146" s="87"/>
      <c r="K146" s="87"/>
      <c r="L146" s="87"/>
      <c r="M146" s="87"/>
      <c r="N146" s="87"/>
      <c r="O146" s="87"/>
      <c r="P146" s="87"/>
      <c r="Q146" s="87"/>
      <c r="R146" s="87"/>
      <c r="S146" s="87"/>
      <c r="T146" s="87"/>
      <c r="U146" s="87"/>
      <c r="V146" s="87"/>
      <c r="W146" s="87"/>
      <c r="X146" s="87"/>
      <c r="Y146" s="87"/>
      <c r="Z146" s="87"/>
      <c r="AA146" s="87"/>
      <c r="AB146" s="87"/>
      <c r="AC146" s="87"/>
      <c r="AD146" s="87"/>
      <c r="AE146" s="87"/>
      <c r="AF146" s="87"/>
      <c r="AG146" s="87"/>
      <c r="AH146" s="87"/>
      <c r="AI146" s="87"/>
      <c r="AJ146" s="87"/>
      <c r="AK146" s="87"/>
      <c r="AL146" s="87"/>
      <c r="AM146" s="87"/>
      <c r="AN146" s="87"/>
      <c r="AO146" s="87"/>
      <c r="AP146" s="87"/>
      <c r="AQ146" s="87"/>
      <c r="AR146" s="87"/>
      <c r="AS146" s="87"/>
    </row>
    <row r="147" spans="1:45">
      <c r="A147" s="87"/>
      <c r="B147" s="87"/>
      <c r="C147" s="87"/>
      <c r="D147" s="87"/>
      <c r="E147" s="87"/>
      <c r="F147" s="87"/>
      <c r="G147" s="87"/>
      <c r="H147" s="87"/>
      <c r="I147" s="87"/>
      <c r="J147" s="87"/>
      <c r="K147" s="87"/>
      <c r="L147" s="87"/>
      <c r="M147" s="87"/>
      <c r="N147" s="87"/>
      <c r="O147" s="87"/>
      <c r="P147" s="87"/>
      <c r="Q147" s="87"/>
      <c r="R147" s="87"/>
      <c r="S147" s="87"/>
      <c r="T147" s="87"/>
      <c r="U147" s="87"/>
      <c r="V147" s="87"/>
      <c r="W147" s="87"/>
      <c r="X147" s="87"/>
      <c r="Y147" s="87"/>
      <c r="Z147" s="87"/>
      <c r="AA147" s="87"/>
      <c r="AB147" s="87"/>
      <c r="AC147" s="87"/>
      <c r="AD147" s="87"/>
      <c r="AE147" s="87"/>
      <c r="AF147" s="87"/>
      <c r="AG147" s="87"/>
      <c r="AH147" s="87"/>
      <c r="AI147" s="87"/>
      <c r="AJ147" s="87"/>
      <c r="AK147" s="87"/>
      <c r="AL147" s="87"/>
      <c r="AM147" s="87"/>
      <c r="AN147" s="87"/>
      <c r="AO147" s="87"/>
      <c r="AP147" s="87"/>
      <c r="AQ147" s="87"/>
      <c r="AR147" s="87"/>
      <c r="AS147" s="87"/>
    </row>
    <row r="148" spans="1:45">
      <c r="A148" s="87"/>
      <c r="B148" s="87"/>
      <c r="C148" s="87"/>
      <c r="D148" s="87"/>
      <c r="E148" s="87"/>
      <c r="F148" s="87"/>
      <c r="G148" s="87"/>
      <c r="H148" s="87"/>
      <c r="I148" s="87"/>
      <c r="J148" s="87"/>
      <c r="K148" s="87"/>
      <c r="L148" s="87"/>
      <c r="M148" s="87"/>
      <c r="N148" s="87"/>
      <c r="O148" s="87"/>
      <c r="P148" s="87"/>
      <c r="Q148" s="87"/>
      <c r="R148" s="87"/>
      <c r="S148" s="87"/>
      <c r="T148" s="87"/>
      <c r="U148" s="87"/>
      <c r="V148" s="87"/>
      <c r="W148" s="87"/>
      <c r="X148" s="87"/>
      <c r="Y148" s="87"/>
      <c r="Z148" s="87"/>
      <c r="AA148" s="87"/>
      <c r="AB148" s="87"/>
      <c r="AC148" s="87"/>
      <c r="AD148" s="87"/>
      <c r="AE148" s="87"/>
      <c r="AF148" s="87"/>
      <c r="AG148" s="87"/>
      <c r="AH148" s="87"/>
      <c r="AI148" s="87"/>
      <c r="AJ148" s="87"/>
      <c r="AK148" s="87"/>
      <c r="AL148" s="87"/>
      <c r="AM148" s="87"/>
      <c r="AN148" s="87"/>
      <c r="AO148" s="87"/>
      <c r="AP148" s="87"/>
      <c r="AQ148" s="87"/>
      <c r="AR148" s="87"/>
      <c r="AS148" s="87"/>
    </row>
    <row r="149" spans="1:45">
      <c r="A149" s="87"/>
      <c r="B149" s="87"/>
      <c r="C149" s="87"/>
      <c r="D149" s="87"/>
      <c r="E149" s="87"/>
      <c r="F149" s="87"/>
      <c r="G149" s="87"/>
      <c r="H149" s="87"/>
      <c r="I149" s="87"/>
      <c r="J149" s="87"/>
      <c r="K149" s="87"/>
      <c r="L149" s="87"/>
      <c r="M149" s="87"/>
      <c r="N149" s="87"/>
      <c r="O149" s="87"/>
      <c r="P149" s="87"/>
      <c r="Q149" s="87"/>
      <c r="R149" s="87"/>
      <c r="S149" s="87"/>
      <c r="T149" s="87"/>
      <c r="U149" s="87"/>
      <c r="V149" s="87"/>
      <c r="W149" s="87"/>
      <c r="X149" s="87"/>
      <c r="Y149" s="87"/>
      <c r="Z149" s="87"/>
      <c r="AA149" s="87"/>
      <c r="AB149" s="87"/>
      <c r="AC149" s="87"/>
      <c r="AD149" s="87"/>
      <c r="AE149" s="87"/>
      <c r="AF149" s="87"/>
      <c r="AG149" s="87"/>
      <c r="AH149" s="87"/>
      <c r="AI149" s="87"/>
      <c r="AJ149" s="87"/>
      <c r="AK149" s="87"/>
      <c r="AL149" s="87"/>
      <c r="AM149" s="87"/>
      <c r="AN149" s="87"/>
      <c r="AO149" s="87"/>
      <c r="AP149" s="87"/>
      <c r="AQ149" s="87"/>
      <c r="AR149" s="87"/>
      <c r="AS149" s="87"/>
    </row>
    <row r="150" spans="1:45">
      <c r="A150" s="87"/>
      <c r="B150" s="87"/>
      <c r="C150" s="87"/>
      <c r="D150" s="87"/>
      <c r="E150" s="87"/>
      <c r="F150" s="87"/>
      <c r="G150" s="87"/>
      <c r="H150" s="87"/>
      <c r="I150" s="87"/>
      <c r="J150" s="87"/>
      <c r="K150" s="87"/>
      <c r="L150" s="87"/>
      <c r="M150" s="87"/>
      <c r="N150" s="87"/>
      <c r="O150" s="87"/>
      <c r="P150" s="87"/>
      <c r="Q150" s="87"/>
      <c r="R150" s="87"/>
      <c r="S150" s="87"/>
      <c r="T150" s="87"/>
      <c r="U150" s="87"/>
      <c r="V150" s="87"/>
      <c r="W150" s="87"/>
      <c r="X150" s="87"/>
      <c r="Y150" s="87"/>
      <c r="Z150" s="87"/>
      <c r="AA150" s="87"/>
      <c r="AB150" s="87"/>
      <c r="AC150" s="87"/>
      <c r="AD150" s="87"/>
      <c r="AE150" s="87"/>
      <c r="AF150" s="87"/>
      <c r="AG150" s="87"/>
      <c r="AH150" s="87"/>
      <c r="AI150" s="87"/>
      <c r="AJ150" s="87"/>
      <c r="AK150" s="87"/>
      <c r="AL150" s="87"/>
      <c r="AM150" s="87"/>
      <c r="AN150" s="87"/>
      <c r="AO150" s="87"/>
      <c r="AP150" s="87"/>
      <c r="AQ150" s="87"/>
      <c r="AR150" s="87"/>
      <c r="AS150" s="87"/>
    </row>
    <row r="151" spans="1:45">
      <c r="A151" s="87"/>
      <c r="B151" s="87"/>
      <c r="C151" s="87"/>
      <c r="D151" s="87"/>
      <c r="E151" s="87"/>
      <c r="F151" s="87"/>
      <c r="G151" s="87"/>
      <c r="H151" s="87"/>
      <c r="I151" s="87"/>
      <c r="J151" s="87"/>
      <c r="K151" s="87"/>
      <c r="L151" s="87"/>
      <c r="M151" s="87"/>
      <c r="N151" s="87"/>
      <c r="O151" s="87"/>
      <c r="P151" s="87"/>
      <c r="Q151" s="87"/>
      <c r="R151" s="87"/>
      <c r="S151" s="87"/>
      <c r="T151" s="87"/>
      <c r="U151" s="87"/>
      <c r="V151" s="87"/>
      <c r="W151" s="87"/>
      <c r="X151" s="87"/>
      <c r="Y151" s="87"/>
      <c r="Z151" s="87"/>
      <c r="AA151" s="87"/>
      <c r="AB151" s="87"/>
      <c r="AC151" s="87"/>
      <c r="AD151" s="87"/>
      <c r="AE151" s="87"/>
      <c r="AF151" s="87"/>
      <c r="AG151" s="87"/>
      <c r="AH151" s="87"/>
      <c r="AI151" s="87"/>
      <c r="AJ151" s="87"/>
      <c r="AK151" s="87"/>
      <c r="AL151" s="87"/>
      <c r="AM151" s="87"/>
      <c r="AN151" s="87"/>
      <c r="AO151" s="87"/>
      <c r="AP151" s="87"/>
      <c r="AQ151" s="87"/>
      <c r="AR151" s="87"/>
      <c r="AS151" s="87"/>
    </row>
    <row r="152" spans="1:45">
      <c r="A152" s="87"/>
      <c r="B152" s="87"/>
      <c r="C152" s="87"/>
      <c r="D152" s="87"/>
      <c r="E152" s="87"/>
      <c r="F152" s="87"/>
      <c r="G152" s="87"/>
      <c r="H152" s="87"/>
      <c r="I152" s="87"/>
      <c r="J152" s="87"/>
      <c r="K152" s="87"/>
      <c r="L152" s="87"/>
      <c r="M152" s="87"/>
      <c r="N152" s="87"/>
      <c r="O152" s="87"/>
      <c r="P152" s="87"/>
      <c r="Q152" s="87"/>
      <c r="R152" s="87"/>
      <c r="S152" s="87"/>
      <c r="T152" s="87"/>
      <c r="U152" s="87"/>
      <c r="V152" s="87"/>
      <c r="W152" s="87"/>
      <c r="X152" s="87"/>
      <c r="Y152" s="87"/>
      <c r="Z152" s="87"/>
      <c r="AA152" s="87"/>
      <c r="AB152" s="87"/>
      <c r="AC152" s="87"/>
      <c r="AD152" s="87"/>
      <c r="AE152" s="87"/>
      <c r="AF152" s="87"/>
      <c r="AG152" s="87"/>
      <c r="AH152" s="87"/>
      <c r="AI152" s="87"/>
      <c r="AJ152" s="87"/>
      <c r="AK152" s="87"/>
      <c r="AL152" s="87"/>
      <c r="AM152" s="87"/>
      <c r="AN152" s="87"/>
      <c r="AO152" s="87"/>
      <c r="AP152" s="87"/>
      <c r="AQ152" s="87"/>
      <c r="AR152" s="87"/>
      <c r="AS152" s="87"/>
    </row>
    <row r="153" spans="1:45">
      <c r="A153" s="87"/>
      <c r="B153" s="87"/>
      <c r="C153" s="87"/>
      <c r="D153" s="87"/>
      <c r="E153" s="87"/>
      <c r="F153" s="87"/>
      <c r="G153" s="87"/>
      <c r="H153" s="87"/>
      <c r="I153" s="87"/>
      <c r="J153" s="87"/>
      <c r="K153" s="87"/>
      <c r="L153" s="87"/>
      <c r="M153" s="87"/>
      <c r="N153" s="87"/>
      <c r="O153" s="87"/>
      <c r="P153" s="87"/>
      <c r="Q153" s="87"/>
      <c r="R153" s="87"/>
      <c r="S153" s="87"/>
      <c r="T153" s="87"/>
      <c r="U153" s="87"/>
      <c r="V153" s="87"/>
      <c r="W153" s="87"/>
      <c r="X153" s="87"/>
      <c r="Y153" s="87"/>
      <c r="Z153" s="87"/>
      <c r="AA153" s="87"/>
      <c r="AB153" s="87"/>
      <c r="AC153" s="87"/>
      <c r="AD153" s="87"/>
      <c r="AE153" s="87"/>
      <c r="AF153" s="87"/>
      <c r="AG153" s="87"/>
      <c r="AH153" s="87"/>
      <c r="AI153" s="87"/>
      <c r="AJ153" s="87"/>
      <c r="AK153" s="87"/>
      <c r="AL153" s="87"/>
      <c r="AM153" s="87"/>
      <c r="AN153" s="87"/>
      <c r="AO153" s="87"/>
      <c r="AP153" s="87"/>
      <c r="AQ153" s="87"/>
      <c r="AR153" s="87"/>
      <c r="AS153" s="87"/>
    </row>
    <row r="154" spans="1:45">
      <c r="A154" s="87"/>
      <c r="B154" s="87"/>
      <c r="C154" s="87"/>
      <c r="D154" s="87"/>
      <c r="E154" s="87"/>
      <c r="F154" s="87"/>
      <c r="G154" s="87"/>
      <c r="H154" s="87"/>
      <c r="I154" s="87"/>
      <c r="J154" s="87"/>
      <c r="K154" s="87"/>
      <c r="L154" s="87"/>
      <c r="M154" s="87"/>
      <c r="N154" s="87"/>
      <c r="O154" s="87"/>
      <c r="P154" s="87"/>
      <c r="Q154" s="87"/>
      <c r="R154" s="87"/>
      <c r="S154" s="87"/>
      <c r="T154" s="87"/>
      <c r="U154" s="87"/>
      <c r="V154" s="87"/>
      <c r="W154" s="87"/>
      <c r="X154" s="87"/>
      <c r="Y154" s="87"/>
      <c r="Z154" s="87"/>
      <c r="AA154" s="87"/>
      <c r="AB154" s="87"/>
      <c r="AC154" s="87"/>
      <c r="AD154" s="87"/>
      <c r="AE154" s="87"/>
      <c r="AF154" s="87"/>
      <c r="AG154" s="87"/>
      <c r="AH154" s="87"/>
      <c r="AI154" s="87"/>
      <c r="AJ154" s="87"/>
      <c r="AK154" s="87"/>
      <c r="AL154" s="87"/>
      <c r="AM154" s="87"/>
      <c r="AN154" s="87"/>
      <c r="AO154" s="87"/>
      <c r="AP154" s="87"/>
      <c r="AQ154" s="87"/>
      <c r="AR154" s="87"/>
      <c r="AS154" s="87"/>
    </row>
    <row r="155" spans="1:45">
      <c r="A155" s="87"/>
      <c r="B155" s="87"/>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c r="AA155" s="87"/>
      <c r="AB155" s="87"/>
      <c r="AC155" s="87"/>
      <c r="AD155" s="87"/>
      <c r="AE155" s="87"/>
      <c r="AF155" s="87"/>
      <c r="AG155" s="87"/>
      <c r="AH155" s="87"/>
      <c r="AI155" s="87"/>
      <c r="AJ155" s="87"/>
      <c r="AK155" s="87"/>
      <c r="AL155" s="87"/>
      <c r="AM155" s="87"/>
      <c r="AN155" s="87"/>
      <c r="AO155" s="87"/>
      <c r="AP155" s="87"/>
      <c r="AQ155" s="87"/>
      <c r="AR155" s="87"/>
      <c r="AS155" s="87"/>
    </row>
    <row r="156" spans="1:45">
      <c r="A156" s="87"/>
      <c r="B156" s="87"/>
      <c r="C156" s="87"/>
      <c r="D156" s="87"/>
      <c r="E156" s="87"/>
      <c r="F156" s="87"/>
      <c r="G156" s="87"/>
      <c r="H156" s="87"/>
      <c r="I156" s="87"/>
      <c r="J156" s="87"/>
      <c r="K156" s="87"/>
      <c r="L156" s="87"/>
      <c r="M156" s="87"/>
      <c r="N156" s="87"/>
      <c r="O156" s="87"/>
      <c r="P156" s="87"/>
      <c r="Q156" s="87"/>
      <c r="R156" s="87"/>
      <c r="S156" s="87"/>
      <c r="T156" s="87"/>
      <c r="U156" s="87"/>
      <c r="V156" s="87"/>
      <c r="W156" s="87"/>
      <c r="X156" s="87"/>
      <c r="Y156" s="87"/>
      <c r="Z156" s="87"/>
      <c r="AA156" s="87"/>
      <c r="AB156" s="87"/>
      <c r="AC156" s="87"/>
      <c r="AD156" s="87"/>
      <c r="AE156" s="87"/>
      <c r="AF156" s="87"/>
      <c r="AG156" s="87"/>
      <c r="AH156" s="87"/>
      <c r="AI156" s="87"/>
      <c r="AJ156" s="87"/>
      <c r="AK156" s="87"/>
      <c r="AL156" s="87"/>
      <c r="AM156" s="87"/>
      <c r="AN156" s="87"/>
      <c r="AO156" s="87"/>
      <c r="AP156" s="87"/>
      <c r="AQ156" s="87"/>
      <c r="AR156" s="87"/>
      <c r="AS156" s="87"/>
    </row>
    <row r="157" spans="1:45">
      <c r="A157" s="87"/>
      <c r="B157" s="87"/>
      <c r="C157" s="87"/>
      <c r="D157" s="87"/>
      <c r="E157" s="87"/>
      <c r="F157" s="87"/>
      <c r="G157" s="87"/>
      <c r="H157" s="87"/>
      <c r="I157" s="87"/>
      <c r="J157" s="87"/>
      <c r="K157" s="87"/>
      <c r="L157" s="87"/>
      <c r="M157" s="87"/>
      <c r="N157" s="87"/>
      <c r="O157" s="87"/>
      <c r="P157" s="87"/>
      <c r="Q157" s="87"/>
      <c r="R157" s="87"/>
      <c r="S157" s="87"/>
      <c r="T157" s="87"/>
      <c r="U157" s="87"/>
      <c r="V157" s="87"/>
      <c r="W157" s="87"/>
      <c r="X157" s="87"/>
      <c r="Y157" s="87"/>
      <c r="Z157" s="87"/>
      <c r="AA157" s="87"/>
      <c r="AB157" s="87"/>
      <c r="AC157" s="87"/>
      <c r="AD157" s="87"/>
      <c r="AE157" s="87"/>
      <c r="AF157" s="87"/>
      <c r="AG157" s="87"/>
      <c r="AH157" s="87"/>
      <c r="AI157" s="87"/>
      <c r="AJ157" s="87"/>
      <c r="AK157" s="87"/>
      <c r="AL157" s="87"/>
      <c r="AM157" s="87"/>
      <c r="AN157" s="87"/>
      <c r="AO157" s="87"/>
      <c r="AP157" s="87"/>
      <c r="AQ157" s="87"/>
      <c r="AR157" s="87"/>
      <c r="AS157" s="87"/>
    </row>
    <row r="158" spans="1:45">
      <c r="A158" s="87"/>
      <c r="B158" s="87"/>
      <c r="C158" s="87"/>
      <c r="D158" s="87"/>
      <c r="E158" s="87"/>
      <c r="F158" s="87"/>
      <c r="G158" s="87"/>
      <c r="H158" s="87"/>
      <c r="I158" s="87"/>
      <c r="J158" s="87"/>
      <c r="K158" s="87"/>
      <c r="L158" s="87"/>
      <c r="M158" s="87"/>
      <c r="N158" s="87"/>
      <c r="O158" s="87"/>
      <c r="P158" s="87"/>
      <c r="Q158" s="87"/>
      <c r="R158" s="87"/>
      <c r="S158" s="87"/>
      <c r="T158" s="87"/>
      <c r="U158" s="87"/>
      <c r="V158" s="87"/>
      <c r="W158" s="87"/>
      <c r="X158" s="87"/>
      <c r="Y158" s="87"/>
      <c r="Z158" s="87"/>
      <c r="AA158" s="87"/>
      <c r="AB158" s="87"/>
      <c r="AC158" s="87"/>
      <c r="AD158" s="87"/>
      <c r="AE158" s="87"/>
      <c r="AF158" s="87"/>
      <c r="AG158" s="87"/>
      <c r="AH158" s="87"/>
      <c r="AI158" s="87"/>
      <c r="AJ158" s="87"/>
      <c r="AK158" s="87"/>
      <c r="AL158" s="87"/>
      <c r="AM158" s="87"/>
      <c r="AN158" s="87"/>
      <c r="AO158" s="87"/>
      <c r="AP158" s="87"/>
      <c r="AQ158" s="87"/>
      <c r="AR158" s="87"/>
      <c r="AS158" s="87"/>
    </row>
    <row r="159" spans="1:45">
      <c r="A159" s="87"/>
      <c r="B159" s="87"/>
      <c r="C159" s="87"/>
      <c r="D159" s="87"/>
      <c r="E159" s="87"/>
      <c r="F159" s="87"/>
      <c r="G159" s="87"/>
      <c r="H159" s="87"/>
      <c r="I159" s="87"/>
      <c r="J159" s="87"/>
      <c r="K159" s="87"/>
      <c r="L159" s="87"/>
      <c r="M159" s="87"/>
      <c r="N159" s="87"/>
      <c r="O159" s="87"/>
      <c r="P159" s="87"/>
      <c r="Q159" s="87"/>
      <c r="R159" s="87"/>
      <c r="S159" s="87"/>
      <c r="T159" s="87"/>
      <c r="U159" s="87"/>
      <c r="V159" s="87"/>
      <c r="W159" s="87"/>
      <c r="X159" s="87"/>
      <c r="Y159" s="87"/>
      <c r="Z159" s="87"/>
      <c r="AA159" s="87"/>
      <c r="AB159" s="87"/>
      <c r="AC159" s="87"/>
      <c r="AD159" s="87"/>
      <c r="AE159" s="87"/>
      <c r="AF159" s="87"/>
      <c r="AG159" s="87"/>
      <c r="AH159" s="87"/>
      <c r="AI159" s="87"/>
      <c r="AJ159" s="87"/>
      <c r="AK159" s="87"/>
      <c r="AL159" s="87"/>
      <c r="AM159" s="87"/>
      <c r="AN159" s="87"/>
      <c r="AO159" s="87"/>
      <c r="AP159" s="87"/>
      <c r="AQ159" s="87"/>
      <c r="AR159" s="87"/>
      <c r="AS159" s="87"/>
    </row>
    <row r="160" spans="1:45">
      <c r="A160" s="87"/>
      <c r="B160" s="87"/>
      <c r="C160" s="87"/>
      <c r="D160" s="87"/>
      <c r="E160" s="87"/>
      <c r="F160" s="87"/>
      <c r="G160" s="87"/>
      <c r="H160" s="87"/>
      <c r="I160" s="87"/>
      <c r="J160" s="87"/>
      <c r="K160" s="87"/>
      <c r="L160" s="87"/>
      <c r="M160" s="87"/>
      <c r="N160" s="87"/>
      <c r="O160" s="87"/>
      <c r="P160" s="87"/>
      <c r="Q160" s="87"/>
      <c r="R160" s="87"/>
      <c r="S160" s="87"/>
      <c r="T160" s="87"/>
      <c r="U160" s="87"/>
      <c r="V160" s="87"/>
      <c r="W160" s="87"/>
      <c r="X160" s="87"/>
      <c r="Y160" s="87"/>
      <c r="Z160" s="87"/>
      <c r="AA160" s="87"/>
      <c r="AB160" s="87"/>
      <c r="AC160" s="87"/>
      <c r="AD160" s="87"/>
      <c r="AE160" s="87"/>
      <c r="AF160" s="87"/>
      <c r="AG160" s="87"/>
      <c r="AH160" s="87"/>
      <c r="AI160" s="87"/>
      <c r="AJ160" s="87"/>
      <c r="AK160" s="87"/>
      <c r="AL160" s="87"/>
      <c r="AM160" s="87"/>
      <c r="AN160" s="87"/>
      <c r="AO160" s="87"/>
      <c r="AP160" s="87"/>
      <c r="AQ160" s="87"/>
      <c r="AR160" s="87"/>
      <c r="AS160" s="87"/>
    </row>
    <row r="161" spans="1:45">
      <c r="A161" s="87"/>
      <c r="B161" s="87"/>
      <c r="C161" s="87"/>
      <c r="D161" s="87"/>
      <c r="E161" s="87"/>
      <c r="F161" s="87"/>
      <c r="G161" s="87"/>
      <c r="H161" s="87"/>
      <c r="I161" s="87"/>
      <c r="J161" s="87"/>
      <c r="K161" s="87"/>
      <c r="L161" s="87"/>
      <c r="M161" s="87"/>
      <c r="N161" s="87"/>
      <c r="O161" s="87"/>
      <c r="P161" s="87"/>
      <c r="Q161" s="87"/>
      <c r="R161" s="87"/>
      <c r="S161" s="87"/>
      <c r="T161" s="87"/>
      <c r="U161" s="87"/>
      <c r="V161" s="87"/>
      <c r="W161" s="87"/>
      <c r="X161" s="87"/>
      <c r="Y161" s="87"/>
      <c r="Z161" s="87"/>
      <c r="AA161" s="87"/>
      <c r="AB161" s="87"/>
      <c r="AC161" s="87"/>
      <c r="AD161" s="87"/>
      <c r="AE161" s="87"/>
      <c r="AF161" s="87"/>
      <c r="AG161" s="87"/>
      <c r="AH161" s="87"/>
      <c r="AI161" s="87"/>
      <c r="AJ161" s="87"/>
      <c r="AK161" s="87"/>
      <c r="AL161" s="87"/>
      <c r="AM161" s="87"/>
      <c r="AN161" s="87"/>
      <c r="AO161" s="87"/>
      <c r="AP161" s="87"/>
      <c r="AQ161" s="87"/>
      <c r="AR161" s="87"/>
      <c r="AS161" s="87"/>
    </row>
    <row r="162" spans="1:45">
      <c r="A162" s="87"/>
      <c r="B162" s="87"/>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c r="AA162" s="87"/>
      <c r="AB162" s="87"/>
      <c r="AC162" s="87"/>
      <c r="AD162" s="87"/>
      <c r="AE162" s="87"/>
      <c r="AF162" s="87"/>
      <c r="AG162" s="87"/>
      <c r="AH162" s="87"/>
      <c r="AI162" s="87"/>
      <c r="AJ162" s="87"/>
      <c r="AK162" s="87"/>
      <c r="AL162" s="87"/>
      <c r="AM162" s="87"/>
      <c r="AN162" s="87"/>
      <c r="AO162" s="87"/>
      <c r="AP162" s="87"/>
      <c r="AQ162" s="87"/>
      <c r="AR162" s="87"/>
      <c r="AS162" s="87"/>
    </row>
    <row r="163" spans="1:45">
      <c r="A163" s="87"/>
      <c r="B163" s="87"/>
      <c r="C163" s="87"/>
      <c r="D163" s="87"/>
      <c r="E163" s="87"/>
      <c r="F163" s="87"/>
      <c r="G163" s="87"/>
      <c r="H163" s="87"/>
      <c r="I163" s="87"/>
      <c r="J163" s="87"/>
      <c r="K163" s="87"/>
      <c r="L163" s="87"/>
      <c r="M163" s="87"/>
      <c r="N163" s="87"/>
      <c r="O163" s="87"/>
      <c r="P163" s="87"/>
      <c r="Q163" s="87"/>
      <c r="R163" s="87"/>
      <c r="S163" s="87"/>
      <c r="T163" s="87"/>
      <c r="U163" s="87"/>
      <c r="V163" s="87"/>
      <c r="W163" s="87"/>
      <c r="X163" s="87"/>
      <c r="Y163" s="87"/>
      <c r="Z163" s="87"/>
      <c r="AA163" s="87"/>
      <c r="AB163" s="87"/>
      <c r="AC163" s="87"/>
      <c r="AD163" s="87"/>
      <c r="AE163" s="87"/>
      <c r="AF163" s="87"/>
      <c r="AG163" s="87"/>
      <c r="AH163" s="87"/>
      <c r="AI163" s="87"/>
      <c r="AJ163" s="87"/>
      <c r="AK163" s="87"/>
      <c r="AL163" s="87"/>
      <c r="AM163" s="87"/>
      <c r="AN163" s="87"/>
      <c r="AO163" s="87"/>
      <c r="AP163" s="87"/>
      <c r="AQ163" s="87"/>
      <c r="AR163" s="87"/>
      <c r="AS163" s="87"/>
    </row>
    <row r="164" spans="1:45">
      <c r="A164" s="87"/>
      <c r="B164" s="87"/>
      <c r="C164" s="87"/>
      <c r="D164" s="87"/>
      <c r="E164" s="87"/>
      <c r="F164" s="87"/>
      <c r="G164" s="87"/>
      <c r="H164" s="87"/>
      <c r="I164" s="87"/>
      <c r="J164" s="87"/>
      <c r="K164" s="87"/>
      <c r="L164" s="87"/>
      <c r="M164" s="87"/>
      <c r="N164" s="87"/>
      <c r="O164" s="87"/>
      <c r="P164" s="87"/>
      <c r="Q164" s="87"/>
      <c r="R164" s="87"/>
      <c r="S164" s="87"/>
      <c r="T164" s="87"/>
      <c r="U164" s="87"/>
      <c r="V164" s="87"/>
      <c r="W164" s="87"/>
      <c r="X164" s="87"/>
      <c r="Y164" s="87"/>
      <c r="Z164" s="87"/>
      <c r="AA164" s="87"/>
      <c r="AB164" s="87"/>
      <c r="AC164" s="87"/>
      <c r="AD164" s="87"/>
      <c r="AE164" s="87"/>
      <c r="AF164" s="87"/>
      <c r="AG164" s="87"/>
      <c r="AH164" s="87"/>
      <c r="AI164" s="87"/>
      <c r="AJ164" s="87"/>
      <c r="AK164" s="87"/>
      <c r="AL164" s="87"/>
      <c r="AM164" s="87"/>
      <c r="AN164" s="87"/>
      <c r="AO164" s="87"/>
      <c r="AP164" s="87"/>
      <c r="AQ164" s="87"/>
      <c r="AR164" s="87"/>
      <c r="AS164" s="87"/>
    </row>
    <row r="165" spans="1:45">
      <c r="A165" s="87"/>
      <c r="B165" s="87"/>
      <c r="C165" s="87"/>
      <c r="D165" s="87"/>
      <c r="E165" s="87"/>
      <c r="F165" s="87"/>
      <c r="G165" s="87"/>
      <c r="H165" s="87"/>
      <c r="I165" s="87"/>
      <c r="J165" s="87"/>
      <c r="K165" s="87"/>
      <c r="L165" s="87"/>
      <c r="M165" s="87"/>
      <c r="N165" s="87"/>
      <c r="O165" s="87"/>
      <c r="P165" s="87"/>
      <c r="Q165" s="87"/>
      <c r="R165" s="87"/>
      <c r="S165" s="87"/>
      <c r="T165" s="87"/>
      <c r="U165" s="87"/>
      <c r="V165" s="87"/>
      <c r="W165" s="87"/>
      <c r="X165" s="87"/>
      <c r="Y165" s="87"/>
      <c r="Z165" s="87"/>
      <c r="AA165" s="87"/>
      <c r="AB165" s="87"/>
      <c r="AC165" s="87"/>
      <c r="AD165" s="87"/>
      <c r="AE165" s="87"/>
      <c r="AF165" s="87"/>
      <c r="AG165" s="87"/>
      <c r="AH165" s="87"/>
      <c r="AI165" s="87"/>
      <c r="AJ165" s="87"/>
      <c r="AK165" s="87"/>
      <c r="AL165" s="87"/>
      <c r="AM165" s="87"/>
      <c r="AN165" s="87"/>
      <c r="AO165" s="87"/>
      <c r="AP165" s="87"/>
      <c r="AQ165" s="87"/>
      <c r="AR165" s="87"/>
      <c r="AS165" s="87"/>
    </row>
    <row r="166" spans="1:45">
      <c r="A166" s="87"/>
      <c r="B166" s="87"/>
      <c r="C166" s="87"/>
      <c r="D166" s="87"/>
      <c r="E166" s="87"/>
      <c r="F166" s="87"/>
      <c r="G166" s="87"/>
      <c r="H166" s="87"/>
      <c r="I166" s="87"/>
      <c r="J166" s="87"/>
      <c r="K166" s="87"/>
      <c r="L166" s="87"/>
      <c r="M166" s="87"/>
      <c r="N166" s="87"/>
      <c r="O166" s="87"/>
      <c r="P166" s="87"/>
      <c r="Q166" s="87"/>
      <c r="R166" s="87"/>
      <c r="S166" s="87"/>
      <c r="T166" s="87"/>
      <c r="U166" s="87"/>
      <c r="V166" s="87"/>
      <c r="W166" s="87"/>
      <c r="X166" s="87"/>
      <c r="Y166" s="87"/>
      <c r="Z166" s="87"/>
      <c r="AA166" s="87"/>
      <c r="AB166" s="87"/>
      <c r="AC166" s="87"/>
      <c r="AD166" s="87"/>
      <c r="AE166" s="87"/>
      <c r="AF166" s="87"/>
      <c r="AG166" s="87"/>
      <c r="AH166" s="87"/>
      <c r="AI166" s="87"/>
      <c r="AJ166" s="87"/>
      <c r="AK166" s="87"/>
      <c r="AL166" s="87"/>
      <c r="AM166" s="87"/>
      <c r="AN166" s="87"/>
      <c r="AO166" s="87"/>
      <c r="AP166" s="87"/>
      <c r="AQ166" s="87"/>
      <c r="AR166" s="87"/>
      <c r="AS166" s="87"/>
    </row>
    <row r="167" spans="1:45">
      <c r="A167" s="87"/>
      <c r="B167" s="87"/>
      <c r="C167" s="87"/>
      <c r="D167" s="87"/>
      <c r="E167" s="87"/>
      <c r="F167" s="87"/>
      <c r="G167" s="87"/>
      <c r="H167" s="87"/>
      <c r="I167" s="87"/>
      <c r="J167" s="87"/>
      <c r="K167" s="87"/>
      <c r="L167" s="87"/>
      <c r="M167" s="87"/>
      <c r="N167" s="87"/>
      <c r="O167" s="87"/>
      <c r="P167" s="87"/>
      <c r="Q167" s="87"/>
      <c r="R167" s="87"/>
      <c r="S167" s="87"/>
      <c r="T167" s="87"/>
      <c r="U167" s="87"/>
      <c r="V167" s="87"/>
      <c r="W167" s="87"/>
      <c r="X167" s="87"/>
      <c r="Y167" s="87"/>
      <c r="Z167" s="87"/>
      <c r="AA167" s="87"/>
      <c r="AB167" s="87"/>
      <c r="AC167" s="87"/>
      <c r="AD167" s="87"/>
      <c r="AE167" s="87"/>
      <c r="AF167" s="87"/>
      <c r="AG167" s="87"/>
      <c r="AH167" s="87"/>
      <c r="AI167" s="87"/>
      <c r="AJ167" s="87"/>
      <c r="AK167" s="87"/>
      <c r="AL167" s="87"/>
      <c r="AM167" s="87"/>
      <c r="AN167" s="87"/>
      <c r="AO167" s="87"/>
      <c r="AP167" s="87"/>
      <c r="AQ167" s="87"/>
      <c r="AR167" s="87"/>
      <c r="AS167" s="87"/>
    </row>
    <row r="168" spans="1:45">
      <c r="A168" s="87"/>
      <c r="B168" s="87"/>
      <c r="C168" s="87"/>
      <c r="D168" s="87"/>
      <c r="E168" s="87"/>
      <c r="F168" s="87"/>
      <c r="G168" s="87"/>
      <c r="H168" s="87"/>
      <c r="I168" s="87"/>
      <c r="J168" s="87"/>
      <c r="K168" s="87"/>
      <c r="L168" s="87"/>
      <c r="M168" s="87"/>
      <c r="N168" s="87"/>
      <c r="O168" s="87"/>
      <c r="P168" s="87"/>
      <c r="Q168" s="87"/>
      <c r="R168" s="87"/>
      <c r="S168" s="87"/>
      <c r="T168" s="87"/>
      <c r="U168" s="87"/>
      <c r="V168" s="87"/>
      <c r="W168" s="87"/>
      <c r="X168" s="87"/>
      <c r="Y168" s="87"/>
      <c r="Z168" s="87"/>
      <c r="AA168" s="87"/>
      <c r="AB168" s="87"/>
      <c r="AC168" s="87"/>
      <c r="AD168" s="87"/>
      <c r="AE168" s="87"/>
      <c r="AF168" s="87"/>
      <c r="AG168" s="87"/>
      <c r="AH168" s="87"/>
      <c r="AI168" s="87"/>
      <c r="AJ168" s="87"/>
      <c r="AK168" s="87"/>
      <c r="AL168" s="87"/>
      <c r="AM168" s="87"/>
      <c r="AN168" s="87"/>
      <c r="AO168" s="87"/>
      <c r="AP168" s="87"/>
      <c r="AQ168" s="87"/>
      <c r="AR168" s="87"/>
      <c r="AS168" s="87"/>
    </row>
    <row r="169" spans="1:45">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s="87"/>
      <c r="AD169" s="87"/>
      <c r="AE169" s="87"/>
      <c r="AF169" s="87"/>
      <c r="AG169" s="87"/>
      <c r="AH169" s="87"/>
      <c r="AI169" s="87"/>
      <c r="AJ169" s="87"/>
      <c r="AK169" s="87"/>
      <c r="AL169" s="87"/>
      <c r="AM169" s="87"/>
      <c r="AN169" s="87"/>
      <c r="AO169" s="87"/>
      <c r="AP169" s="87"/>
      <c r="AQ169" s="87"/>
      <c r="AR169" s="87"/>
      <c r="AS169" s="87"/>
    </row>
    <row r="170" spans="1:45">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s="87"/>
      <c r="AD170" s="87"/>
      <c r="AE170" s="87"/>
      <c r="AF170" s="87"/>
      <c r="AG170" s="87"/>
      <c r="AH170" s="87"/>
      <c r="AI170" s="87"/>
      <c r="AJ170" s="87"/>
      <c r="AK170" s="87"/>
      <c r="AL170" s="87"/>
      <c r="AM170" s="87"/>
      <c r="AN170" s="87"/>
      <c r="AO170" s="87"/>
      <c r="AP170" s="87"/>
      <c r="AQ170" s="87"/>
      <c r="AR170" s="87"/>
      <c r="AS170" s="87"/>
    </row>
    <row r="171" spans="1:45">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s="87"/>
      <c r="AD171" s="87"/>
      <c r="AE171" s="87"/>
      <c r="AF171" s="87"/>
      <c r="AG171" s="87"/>
      <c r="AH171" s="87"/>
      <c r="AI171" s="87"/>
      <c r="AJ171" s="87"/>
      <c r="AK171" s="87"/>
      <c r="AL171" s="87"/>
      <c r="AM171" s="87"/>
      <c r="AN171" s="87"/>
      <c r="AO171" s="87"/>
      <c r="AP171" s="87"/>
      <c r="AQ171" s="87"/>
      <c r="AR171" s="87"/>
      <c r="AS171" s="87"/>
    </row>
    <row r="172" spans="1:45">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s="87"/>
      <c r="AD172" s="87"/>
      <c r="AE172" s="87"/>
      <c r="AF172" s="87"/>
      <c r="AG172" s="87"/>
      <c r="AH172" s="87"/>
      <c r="AI172" s="87"/>
      <c r="AJ172" s="87"/>
      <c r="AK172" s="87"/>
      <c r="AL172" s="87"/>
      <c r="AM172" s="87"/>
      <c r="AN172" s="87"/>
      <c r="AO172" s="87"/>
      <c r="AP172" s="87"/>
      <c r="AQ172" s="87"/>
      <c r="AR172" s="87"/>
      <c r="AS172" s="87"/>
    </row>
    <row r="173" spans="1:45">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s="87"/>
      <c r="AD173" s="87"/>
      <c r="AE173" s="87"/>
      <c r="AF173" s="87"/>
      <c r="AG173" s="87"/>
      <c r="AH173" s="87"/>
      <c r="AI173" s="87"/>
      <c r="AJ173" s="87"/>
      <c r="AK173" s="87"/>
      <c r="AL173" s="87"/>
      <c r="AM173" s="87"/>
      <c r="AN173" s="87"/>
      <c r="AO173" s="87"/>
      <c r="AP173" s="87"/>
      <c r="AQ173" s="87"/>
      <c r="AR173" s="87"/>
      <c r="AS173" s="87"/>
    </row>
    <row r="174" spans="1:45">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s="87"/>
      <c r="AD174" s="87"/>
      <c r="AE174" s="87"/>
      <c r="AF174" s="87"/>
      <c r="AG174" s="87"/>
      <c r="AH174" s="87"/>
      <c r="AI174" s="87"/>
      <c r="AJ174" s="87"/>
      <c r="AK174" s="87"/>
      <c r="AL174" s="87"/>
      <c r="AM174" s="87"/>
      <c r="AN174" s="87"/>
      <c r="AO174" s="87"/>
      <c r="AP174" s="87"/>
      <c r="AQ174" s="87"/>
      <c r="AR174" s="87"/>
      <c r="AS174" s="87"/>
    </row>
    <row r="175" spans="1:45">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s="87"/>
      <c r="AD175" s="87"/>
      <c r="AE175" s="87"/>
      <c r="AF175" s="87"/>
      <c r="AG175" s="87"/>
      <c r="AH175" s="87"/>
      <c r="AI175" s="87"/>
      <c r="AJ175" s="87"/>
      <c r="AK175" s="87"/>
      <c r="AL175" s="87"/>
      <c r="AM175" s="87"/>
      <c r="AN175" s="87"/>
      <c r="AO175" s="87"/>
      <c r="AP175" s="87"/>
      <c r="AQ175" s="87"/>
      <c r="AR175" s="87"/>
      <c r="AS175" s="87"/>
    </row>
    <row r="176" spans="1:45">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s="87"/>
      <c r="AD176" s="87"/>
      <c r="AE176" s="87"/>
      <c r="AF176" s="87"/>
      <c r="AG176" s="87"/>
      <c r="AH176" s="87"/>
      <c r="AI176" s="87"/>
      <c r="AJ176" s="87"/>
      <c r="AK176" s="87"/>
      <c r="AL176" s="87"/>
      <c r="AM176" s="87"/>
      <c r="AN176" s="87"/>
      <c r="AO176" s="87"/>
      <c r="AP176" s="87"/>
      <c r="AQ176" s="87"/>
      <c r="AR176" s="87"/>
      <c r="AS176" s="87"/>
    </row>
    <row r="177" spans="1:45">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s="87"/>
      <c r="AD177" s="87"/>
      <c r="AE177" s="87"/>
      <c r="AF177" s="87"/>
      <c r="AG177" s="87"/>
      <c r="AH177" s="87"/>
      <c r="AI177" s="87"/>
      <c r="AJ177" s="87"/>
      <c r="AK177" s="87"/>
      <c r="AL177" s="87"/>
      <c r="AM177" s="87"/>
      <c r="AN177" s="87"/>
      <c r="AO177" s="87"/>
      <c r="AP177" s="87"/>
      <c r="AQ177" s="87"/>
      <c r="AR177" s="87"/>
      <c r="AS177" s="87"/>
    </row>
    <row r="178" spans="1:45">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s="87"/>
      <c r="AD178" s="87"/>
      <c r="AE178" s="87"/>
      <c r="AF178" s="87"/>
      <c r="AG178" s="87"/>
      <c r="AH178" s="87"/>
      <c r="AI178" s="87"/>
      <c r="AJ178" s="87"/>
      <c r="AK178" s="87"/>
      <c r="AL178" s="87"/>
      <c r="AM178" s="87"/>
      <c r="AN178" s="87"/>
      <c r="AO178" s="87"/>
      <c r="AP178" s="87"/>
      <c r="AQ178" s="87"/>
      <c r="AR178" s="87"/>
      <c r="AS178" s="87"/>
    </row>
    <row r="179" spans="1:45">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s="87"/>
      <c r="AD179" s="87"/>
      <c r="AE179" s="87"/>
      <c r="AF179" s="87"/>
      <c r="AG179" s="87"/>
      <c r="AH179" s="87"/>
      <c r="AI179" s="87"/>
      <c r="AJ179" s="87"/>
      <c r="AK179" s="87"/>
      <c r="AL179" s="87"/>
      <c r="AM179" s="87"/>
      <c r="AN179" s="87"/>
      <c r="AO179" s="87"/>
      <c r="AP179" s="87"/>
      <c r="AQ179" s="87"/>
      <c r="AR179" s="87"/>
      <c r="AS179" s="87"/>
    </row>
    <row r="180" spans="1:45">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s="87"/>
      <c r="AD180" s="87"/>
      <c r="AE180" s="87"/>
      <c r="AF180" s="87"/>
      <c r="AG180" s="87"/>
      <c r="AH180" s="87"/>
      <c r="AI180" s="87"/>
      <c r="AJ180" s="87"/>
      <c r="AK180" s="87"/>
      <c r="AL180" s="87"/>
      <c r="AM180" s="87"/>
      <c r="AN180" s="87"/>
      <c r="AO180" s="87"/>
      <c r="AP180" s="87"/>
      <c r="AQ180" s="87"/>
      <c r="AR180" s="87"/>
      <c r="AS180" s="87"/>
    </row>
    <row r="181" spans="1:45">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s="87"/>
      <c r="AD181" s="87"/>
      <c r="AE181" s="87"/>
      <c r="AF181" s="87"/>
      <c r="AG181" s="87"/>
      <c r="AH181" s="87"/>
      <c r="AI181" s="87"/>
      <c r="AJ181" s="87"/>
      <c r="AK181" s="87"/>
      <c r="AL181" s="87"/>
      <c r="AM181" s="87"/>
      <c r="AN181" s="87"/>
      <c r="AO181" s="87"/>
      <c r="AP181" s="87"/>
      <c r="AQ181" s="87"/>
      <c r="AR181" s="87"/>
      <c r="AS181" s="87"/>
    </row>
    <row r="182" spans="1:45">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s="87"/>
      <c r="AD182" s="87"/>
      <c r="AE182" s="87"/>
      <c r="AF182" s="87"/>
      <c r="AG182" s="87"/>
      <c r="AH182" s="87"/>
      <c r="AI182" s="87"/>
      <c r="AJ182" s="87"/>
      <c r="AK182" s="87"/>
      <c r="AL182" s="87"/>
      <c r="AM182" s="87"/>
      <c r="AN182" s="87"/>
      <c r="AO182" s="87"/>
      <c r="AP182" s="87"/>
      <c r="AQ182" s="87"/>
      <c r="AR182" s="87"/>
      <c r="AS182" s="87"/>
    </row>
    <row r="183" spans="1:45">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s="87"/>
      <c r="AD183" s="87"/>
      <c r="AE183" s="87"/>
      <c r="AF183" s="87"/>
      <c r="AG183" s="87"/>
      <c r="AH183" s="87"/>
      <c r="AI183" s="87"/>
      <c r="AJ183" s="87"/>
      <c r="AK183" s="87"/>
      <c r="AL183" s="87"/>
      <c r="AM183" s="87"/>
      <c r="AN183" s="87"/>
      <c r="AO183" s="87"/>
      <c r="AP183" s="87"/>
      <c r="AQ183" s="87"/>
      <c r="AR183" s="87"/>
      <c r="AS183" s="87"/>
    </row>
    <row r="184" spans="1:45">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s="87"/>
      <c r="AD184" s="87"/>
      <c r="AE184" s="87"/>
      <c r="AF184" s="87"/>
      <c r="AG184" s="87"/>
      <c r="AH184" s="87"/>
      <c r="AI184" s="87"/>
      <c r="AJ184" s="87"/>
      <c r="AK184" s="87"/>
      <c r="AL184" s="87"/>
      <c r="AM184" s="87"/>
      <c r="AN184" s="87"/>
      <c r="AO184" s="87"/>
      <c r="AP184" s="87"/>
      <c r="AQ184" s="87"/>
      <c r="AR184" s="87"/>
      <c r="AS184" s="87"/>
    </row>
    <row r="185" spans="1:45">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s="87"/>
      <c r="AD185" s="87"/>
      <c r="AE185" s="87"/>
      <c r="AF185" s="87"/>
      <c r="AG185" s="87"/>
      <c r="AH185" s="87"/>
      <c r="AI185" s="87"/>
      <c r="AJ185" s="87"/>
      <c r="AK185" s="87"/>
      <c r="AL185" s="87"/>
      <c r="AM185" s="87"/>
      <c r="AN185" s="87"/>
      <c r="AO185" s="87"/>
      <c r="AP185" s="87"/>
      <c r="AQ185" s="87"/>
      <c r="AR185" s="87"/>
      <c r="AS185" s="87"/>
    </row>
    <row r="186" spans="1:45">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s="87"/>
      <c r="AD186" s="87"/>
      <c r="AE186" s="87"/>
      <c r="AF186" s="87"/>
      <c r="AG186" s="87"/>
      <c r="AH186" s="87"/>
      <c r="AI186" s="87"/>
      <c r="AJ186" s="87"/>
      <c r="AK186" s="87"/>
      <c r="AL186" s="87"/>
      <c r="AM186" s="87"/>
      <c r="AN186" s="87"/>
      <c r="AO186" s="87"/>
      <c r="AP186" s="87"/>
      <c r="AQ186" s="87"/>
      <c r="AR186" s="87"/>
      <c r="AS186" s="87"/>
    </row>
    <row r="187" spans="1:45">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s="87"/>
      <c r="Y187" s="87"/>
      <c r="Z187" s="87"/>
      <c r="AA187" s="87"/>
      <c r="AB187" s="87"/>
      <c r="AC187" s="87"/>
      <c r="AD187" s="87"/>
      <c r="AE187" s="87"/>
      <c r="AF187" s="87"/>
      <c r="AG187" s="87"/>
      <c r="AH187" s="87"/>
      <c r="AI187" s="87"/>
      <c r="AJ187" s="87"/>
      <c r="AK187" s="87"/>
      <c r="AL187" s="87"/>
      <c r="AM187" s="87"/>
      <c r="AN187" s="87"/>
      <c r="AO187" s="87"/>
      <c r="AP187" s="87"/>
      <c r="AQ187" s="87"/>
      <c r="AR187" s="87"/>
      <c r="AS187" s="87"/>
    </row>
    <row r="188" spans="1:45">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s="87"/>
      <c r="Y188" s="87"/>
      <c r="Z188" s="87"/>
      <c r="AA188" s="87"/>
      <c r="AB188" s="87"/>
      <c r="AC188" s="87"/>
      <c r="AD188" s="87"/>
      <c r="AE188" s="87"/>
      <c r="AF188" s="87"/>
      <c r="AG188" s="87"/>
      <c r="AH188" s="87"/>
      <c r="AI188" s="87"/>
      <c r="AJ188" s="87"/>
      <c r="AK188" s="87"/>
      <c r="AL188" s="87"/>
      <c r="AM188" s="87"/>
      <c r="AN188" s="87"/>
      <c r="AO188" s="87"/>
      <c r="AP188" s="87"/>
      <c r="AQ188" s="87"/>
      <c r="AR188" s="87"/>
      <c r="AS188" s="87"/>
    </row>
    <row r="189" spans="1:45">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s="87"/>
      <c r="Y189" s="87"/>
      <c r="Z189" s="87"/>
      <c r="AA189" s="87"/>
      <c r="AB189" s="87"/>
      <c r="AC189" s="87"/>
      <c r="AD189" s="87"/>
      <c r="AE189" s="87"/>
      <c r="AF189" s="87"/>
      <c r="AG189" s="87"/>
      <c r="AH189" s="87"/>
      <c r="AI189" s="87"/>
      <c r="AJ189" s="87"/>
      <c r="AK189" s="87"/>
      <c r="AL189" s="87"/>
      <c r="AM189" s="87"/>
      <c r="AN189" s="87"/>
      <c r="AO189" s="87"/>
      <c r="AP189" s="87"/>
      <c r="AQ189" s="87"/>
      <c r="AR189" s="87"/>
      <c r="AS189" s="87"/>
    </row>
    <row r="190" spans="1:45">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s="87"/>
      <c r="Y190" s="87"/>
      <c r="Z190" s="87"/>
      <c r="AA190" s="87"/>
      <c r="AB190" s="87"/>
      <c r="AC190" s="87"/>
      <c r="AD190" s="87"/>
      <c r="AE190" s="87"/>
      <c r="AF190" s="87"/>
      <c r="AG190" s="87"/>
      <c r="AH190" s="87"/>
      <c r="AI190" s="87"/>
      <c r="AJ190" s="87"/>
      <c r="AK190" s="87"/>
      <c r="AL190" s="87"/>
      <c r="AM190" s="87"/>
      <c r="AN190" s="87"/>
      <c r="AO190" s="87"/>
      <c r="AP190" s="87"/>
      <c r="AQ190" s="87"/>
      <c r="AR190" s="87"/>
      <c r="AS190" s="87"/>
    </row>
    <row r="191" spans="1:45">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s="87"/>
      <c r="Y191" s="87"/>
      <c r="Z191" s="87"/>
      <c r="AA191" s="87"/>
      <c r="AB191" s="87"/>
      <c r="AC191" s="87"/>
      <c r="AD191" s="87"/>
      <c r="AE191" s="87"/>
      <c r="AF191" s="87"/>
      <c r="AG191" s="87"/>
      <c r="AH191" s="87"/>
      <c r="AI191" s="87"/>
      <c r="AJ191" s="87"/>
      <c r="AK191" s="87"/>
      <c r="AL191" s="87"/>
      <c r="AM191" s="87"/>
      <c r="AN191" s="87"/>
      <c r="AO191" s="87"/>
      <c r="AP191" s="87"/>
      <c r="AQ191" s="87"/>
      <c r="AR191" s="87"/>
      <c r="AS191" s="87"/>
    </row>
    <row r="192" spans="1:45">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s="87"/>
      <c r="Y192" s="87"/>
      <c r="Z192" s="87"/>
      <c r="AA192" s="87"/>
      <c r="AB192" s="87"/>
      <c r="AC192" s="87"/>
      <c r="AD192" s="87"/>
      <c r="AE192" s="87"/>
      <c r="AF192" s="87"/>
      <c r="AG192" s="87"/>
      <c r="AH192" s="87"/>
      <c r="AI192" s="87"/>
      <c r="AJ192" s="87"/>
      <c r="AK192" s="87"/>
      <c r="AL192" s="87"/>
      <c r="AM192" s="87"/>
      <c r="AN192" s="87"/>
      <c r="AO192" s="87"/>
      <c r="AP192" s="87"/>
      <c r="AQ192" s="87"/>
      <c r="AR192" s="87"/>
      <c r="AS192" s="87"/>
    </row>
    <row r="193" spans="1:45">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c r="AH193" s="87"/>
      <c r="AI193" s="87"/>
      <c r="AJ193" s="87"/>
      <c r="AK193" s="87"/>
      <c r="AL193" s="87"/>
      <c r="AM193" s="87"/>
      <c r="AN193" s="87"/>
      <c r="AO193" s="87"/>
      <c r="AP193" s="87"/>
      <c r="AQ193" s="87"/>
      <c r="AR193" s="87"/>
      <c r="AS193" s="87"/>
    </row>
    <row r="194" spans="1:45">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s="87"/>
      <c r="Y194" s="87"/>
      <c r="Z194" s="87"/>
      <c r="AA194" s="87"/>
      <c r="AB194" s="87"/>
      <c r="AC194" s="87"/>
      <c r="AD194" s="87"/>
      <c r="AE194" s="87"/>
      <c r="AF194" s="87"/>
      <c r="AG194" s="87"/>
      <c r="AH194" s="87"/>
      <c r="AI194" s="87"/>
      <c r="AJ194" s="87"/>
      <c r="AK194" s="87"/>
      <c r="AL194" s="87"/>
      <c r="AM194" s="87"/>
      <c r="AN194" s="87"/>
      <c r="AO194" s="87"/>
      <c r="AP194" s="87"/>
      <c r="AQ194" s="87"/>
      <c r="AR194" s="87"/>
      <c r="AS194" s="87"/>
    </row>
    <row r="195" spans="1:45">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s="87"/>
      <c r="Y195" s="87"/>
      <c r="Z195" s="87"/>
      <c r="AA195" s="87"/>
      <c r="AB195" s="87"/>
      <c r="AC195" s="87"/>
      <c r="AD195" s="87"/>
      <c r="AE195" s="87"/>
      <c r="AF195" s="87"/>
      <c r="AG195" s="87"/>
      <c r="AH195" s="87"/>
      <c r="AI195" s="87"/>
      <c r="AJ195" s="87"/>
      <c r="AK195" s="87"/>
      <c r="AL195" s="87"/>
      <c r="AM195" s="87"/>
      <c r="AN195" s="87"/>
      <c r="AO195" s="87"/>
      <c r="AP195" s="87"/>
      <c r="AQ195" s="87"/>
      <c r="AR195" s="87"/>
      <c r="AS195" s="87"/>
    </row>
    <row r="196" spans="1:45">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s="87"/>
      <c r="Y196" s="87"/>
      <c r="Z196" s="87"/>
      <c r="AA196" s="87"/>
      <c r="AB196" s="87"/>
      <c r="AC196" s="87"/>
      <c r="AD196" s="87"/>
      <c r="AE196" s="87"/>
      <c r="AF196" s="87"/>
      <c r="AG196" s="87"/>
      <c r="AH196" s="87"/>
      <c r="AI196" s="87"/>
      <c r="AJ196" s="87"/>
      <c r="AK196" s="87"/>
      <c r="AL196" s="87"/>
      <c r="AM196" s="87"/>
      <c r="AN196" s="87"/>
      <c r="AO196" s="87"/>
      <c r="AP196" s="87"/>
      <c r="AQ196" s="87"/>
      <c r="AR196" s="87"/>
      <c r="AS196" s="87"/>
    </row>
    <row r="197" spans="1:45">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s="87"/>
      <c r="Y197" s="87"/>
      <c r="Z197" s="87"/>
      <c r="AA197" s="87"/>
      <c r="AB197" s="87"/>
      <c r="AC197" s="87"/>
      <c r="AD197" s="87"/>
      <c r="AE197" s="87"/>
      <c r="AF197" s="87"/>
      <c r="AG197" s="87"/>
      <c r="AH197" s="87"/>
      <c r="AI197" s="87"/>
      <c r="AJ197" s="87"/>
      <c r="AK197" s="87"/>
      <c r="AL197" s="87"/>
      <c r="AM197" s="87"/>
      <c r="AN197" s="87"/>
      <c r="AO197" s="87"/>
      <c r="AP197" s="87"/>
      <c r="AQ197" s="87"/>
      <c r="AR197" s="87"/>
      <c r="AS197" s="87"/>
    </row>
    <row r="198" spans="1:45">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s="87"/>
      <c r="Y198" s="87"/>
      <c r="Z198" s="87"/>
      <c r="AA198" s="87"/>
      <c r="AB198" s="87"/>
      <c r="AC198" s="87"/>
      <c r="AD198" s="87"/>
      <c r="AE198" s="87"/>
      <c r="AF198" s="87"/>
      <c r="AG198" s="87"/>
      <c r="AH198" s="87"/>
      <c r="AI198" s="87"/>
      <c r="AJ198" s="87"/>
      <c r="AK198" s="87"/>
      <c r="AL198" s="87"/>
      <c r="AM198" s="87"/>
      <c r="AN198" s="87"/>
      <c r="AO198" s="87"/>
      <c r="AP198" s="87"/>
      <c r="AQ198" s="87"/>
      <c r="AR198" s="87"/>
      <c r="AS198" s="87"/>
    </row>
    <row r="199" spans="1:45">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s="87"/>
      <c r="Y199" s="87"/>
      <c r="Z199" s="87"/>
      <c r="AA199" s="87"/>
      <c r="AB199" s="87"/>
      <c r="AC199" s="87"/>
      <c r="AD199" s="87"/>
      <c r="AE199" s="87"/>
      <c r="AF199" s="87"/>
      <c r="AG199" s="87"/>
      <c r="AH199" s="87"/>
      <c r="AI199" s="87"/>
      <c r="AJ199" s="87"/>
      <c r="AK199" s="87"/>
      <c r="AL199" s="87"/>
      <c r="AM199" s="87"/>
      <c r="AN199" s="87"/>
      <c r="AO199" s="87"/>
      <c r="AP199" s="87"/>
      <c r="AQ199" s="87"/>
      <c r="AR199" s="87"/>
      <c r="AS199" s="87"/>
    </row>
    <row r="200" spans="1:45">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s="87"/>
      <c r="Y200" s="87"/>
      <c r="Z200" s="87"/>
      <c r="AA200" s="87"/>
      <c r="AB200" s="87"/>
      <c r="AC200" s="87"/>
      <c r="AD200" s="87"/>
      <c r="AE200" s="87"/>
      <c r="AF200" s="87"/>
      <c r="AG200" s="87"/>
      <c r="AH200" s="87"/>
      <c r="AI200" s="87"/>
      <c r="AJ200" s="87"/>
      <c r="AK200" s="87"/>
      <c r="AL200" s="87"/>
      <c r="AM200" s="87"/>
      <c r="AN200" s="87"/>
      <c r="AO200" s="87"/>
      <c r="AP200" s="87"/>
      <c r="AQ200" s="87"/>
      <c r="AR200" s="87"/>
      <c r="AS200" s="87"/>
    </row>
    <row r="201" spans="1:45">
      <c r="A201" s="87"/>
      <c r="B201" s="87"/>
      <c r="C201" s="87"/>
      <c r="D201" s="87"/>
      <c r="E201" s="87"/>
      <c r="F201" s="87"/>
      <c r="G201" s="87"/>
      <c r="H201" s="87"/>
      <c r="I201" s="87"/>
      <c r="J201" s="87"/>
      <c r="K201" s="87"/>
      <c r="L201" s="87"/>
      <c r="M201" s="87"/>
      <c r="N201" s="87"/>
      <c r="O201" s="87"/>
      <c r="P201" s="87"/>
      <c r="Q201" s="87"/>
      <c r="R201" s="87"/>
      <c r="S201" s="87"/>
      <c r="T201" s="87"/>
      <c r="U201" s="87"/>
      <c r="V201" s="87"/>
      <c r="W201" s="87"/>
      <c r="X201" s="87"/>
      <c r="Y201" s="87"/>
      <c r="Z201" s="87"/>
      <c r="AA201" s="87"/>
      <c r="AB201" s="87"/>
      <c r="AC201" s="87"/>
      <c r="AD201" s="87"/>
      <c r="AE201" s="87"/>
      <c r="AF201" s="87"/>
      <c r="AG201" s="87"/>
      <c r="AH201" s="87"/>
      <c r="AI201" s="87"/>
      <c r="AJ201" s="87"/>
      <c r="AK201" s="87"/>
      <c r="AL201" s="87"/>
      <c r="AM201" s="87"/>
      <c r="AN201" s="87"/>
      <c r="AO201" s="87"/>
      <c r="AP201" s="87"/>
      <c r="AQ201" s="87"/>
      <c r="AR201" s="87"/>
      <c r="AS201" s="87"/>
    </row>
    <row r="202" spans="1:45">
      <c r="A202" s="87"/>
      <c r="B202" s="87"/>
      <c r="C202" s="87"/>
      <c r="D202" s="87"/>
      <c r="E202" s="87"/>
      <c r="F202" s="87"/>
      <c r="G202" s="87"/>
      <c r="H202" s="87"/>
      <c r="I202" s="87"/>
      <c r="J202" s="87"/>
      <c r="K202" s="87"/>
      <c r="L202" s="87"/>
      <c r="M202" s="87"/>
      <c r="N202" s="87"/>
      <c r="O202" s="87"/>
      <c r="P202" s="87"/>
      <c r="Q202" s="87"/>
      <c r="R202" s="87"/>
      <c r="S202" s="87"/>
      <c r="T202" s="87"/>
      <c r="U202" s="87"/>
      <c r="V202" s="87"/>
      <c r="W202" s="87"/>
      <c r="X202" s="87"/>
      <c r="Y202" s="87"/>
      <c r="Z202" s="87"/>
      <c r="AA202" s="87"/>
      <c r="AB202" s="87"/>
      <c r="AC202" s="87"/>
      <c r="AD202" s="87"/>
      <c r="AE202" s="87"/>
      <c r="AF202" s="87"/>
      <c r="AG202" s="87"/>
      <c r="AH202" s="87"/>
      <c r="AI202" s="87"/>
      <c r="AJ202" s="87"/>
      <c r="AK202" s="87"/>
      <c r="AL202" s="87"/>
      <c r="AM202" s="87"/>
      <c r="AN202" s="87"/>
      <c r="AO202" s="87"/>
      <c r="AP202" s="87"/>
      <c r="AQ202" s="87"/>
      <c r="AR202" s="87"/>
      <c r="AS202" s="87"/>
    </row>
    <row r="203" spans="1:45">
      <c r="A203" s="87"/>
      <c r="B203" s="87"/>
      <c r="C203" s="87"/>
      <c r="D203" s="87"/>
      <c r="E203" s="87"/>
      <c r="F203" s="87"/>
      <c r="G203" s="87"/>
      <c r="H203" s="87"/>
      <c r="I203" s="87"/>
      <c r="J203" s="87"/>
      <c r="K203" s="87"/>
      <c r="L203" s="87"/>
      <c r="M203" s="87"/>
      <c r="N203" s="87"/>
      <c r="O203" s="87"/>
      <c r="P203" s="87"/>
      <c r="Q203" s="87"/>
      <c r="R203" s="87"/>
      <c r="S203" s="87"/>
      <c r="T203" s="87"/>
      <c r="U203" s="87"/>
      <c r="V203" s="87"/>
      <c r="W203" s="87"/>
      <c r="X203" s="87"/>
      <c r="Y203" s="87"/>
      <c r="Z203" s="87"/>
      <c r="AA203" s="87"/>
      <c r="AB203" s="87"/>
      <c r="AC203" s="87"/>
      <c r="AD203" s="87"/>
      <c r="AE203" s="87"/>
      <c r="AF203" s="87"/>
      <c r="AG203" s="87"/>
      <c r="AH203" s="87"/>
      <c r="AI203" s="87"/>
      <c r="AJ203" s="87"/>
      <c r="AK203" s="87"/>
      <c r="AL203" s="87"/>
      <c r="AM203" s="87"/>
      <c r="AN203" s="87"/>
      <c r="AO203" s="87"/>
      <c r="AP203" s="87"/>
      <c r="AQ203" s="87"/>
      <c r="AR203" s="87"/>
      <c r="AS203" s="87"/>
    </row>
    <row r="204" spans="1:45">
      <c r="A204" s="87"/>
      <c r="B204" s="87"/>
      <c r="C204" s="87"/>
      <c r="D204" s="87"/>
      <c r="E204" s="87"/>
      <c r="F204" s="87"/>
      <c r="G204" s="87"/>
      <c r="H204" s="87"/>
      <c r="I204" s="87"/>
      <c r="J204" s="87"/>
      <c r="K204" s="87"/>
      <c r="L204" s="87"/>
      <c r="M204" s="87"/>
      <c r="N204" s="87"/>
      <c r="O204" s="87"/>
      <c r="P204" s="87"/>
      <c r="Q204" s="87"/>
      <c r="R204" s="87"/>
      <c r="S204" s="87"/>
      <c r="T204" s="87"/>
      <c r="U204" s="87"/>
      <c r="V204" s="87"/>
      <c r="W204" s="87"/>
      <c r="X204" s="87"/>
      <c r="Y204" s="87"/>
      <c r="Z204" s="87"/>
      <c r="AA204" s="87"/>
      <c r="AB204" s="87"/>
      <c r="AC204" s="87"/>
      <c r="AD204" s="87"/>
      <c r="AE204" s="87"/>
      <c r="AF204" s="87"/>
      <c r="AG204" s="87"/>
      <c r="AH204" s="87"/>
      <c r="AI204" s="87"/>
      <c r="AJ204" s="87"/>
      <c r="AK204" s="87"/>
      <c r="AL204" s="87"/>
      <c r="AM204" s="87"/>
      <c r="AN204" s="87"/>
      <c r="AO204" s="87"/>
      <c r="AP204" s="87"/>
      <c r="AQ204" s="87"/>
      <c r="AR204" s="87"/>
      <c r="AS204" s="87"/>
    </row>
    <row r="205" spans="1:45">
      <c r="A205" s="87"/>
      <c r="B205" s="87"/>
      <c r="C205" s="87"/>
      <c r="D205" s="87"/>
      <c r="E205" s="87"/>
      <c r="F205" s="87"/>
      <c r="G205" s="87"/>
      <c r="H205" s="87"/>
      <c r="I205" s="87"/>
      <c r="J205" s="87"/>
      <c r="K205" s="87"/>
      <c r="L205" s="87"/>
      <c r="M205" s="87"/>
      <c r="N205" s="87"/>
      <c r="O205" s="87"/>
      <c r="P205" s="87"/>
      <c r="Q205" s="87"/>
      <c r="R205" s="87"/>
      <c r="S205" s="87"/>
      <c r="T205" s="87"/>
      <c r="U205" s="87"/>
      <c r="V205" s="87"/>
      <c r="W205" s="87"/>
      <c r="X205" s="87"/>
      <c r="Y205" s="87"/>
      <c r="Z205" s="87"/>
      <c r="AA205" s="87"/>
      <c r="AB205" s="87"/>
      <c r="AC205" s="87"/>
      <c r="AD205" s="87"/>
      <c r="AE205" s="87"/>
      <c r="AF205" s="87"/>
      <c r="AG205" s="87"/>
      <c r="AH205" s="87"/>
      <c r="AI205" s="87"/>
      <c r="AJ205" s="87"/>
      <c r="AK205" s="87"/>
      <c r="AL205" s="87"/>
      <c r="AM205" s="87"/>
      <c r="AN205" s="87"/>
      <c r="AO205" s="87"/>
      <c r="AP205" s="87"/>
      <c r="AQ205" s="87"/>
      <c r="AR205" s="87"/>
      <c r="AS205" s="87"/>
    </row>
    <row r="206" spans="1:45">
      <c r="A206" s="87"/>
      <c r="B206" s="87"/>
      <c r="C206" s="87"/>
      <c r="D206" s="87"/>
      <c r="E206" s="87"/>
      <c r="F206" s="87"/>
      <c r="G206" s="87"/>
      <c r="H206" s="87"/>
      <c r="I206" s="87"/>
      <c r="J206" s="87"/>
      <c r="K206" s="87"/>
      <c r="L206" s="87"/>
      <c r="M206" s="87"/>
      <c r="N206" s="87"/>
      <c r="O206" s="87"/>
      <c r="P206" s="87"/>
      <c r="Q206" s="87"/>
      <c r="R206" s="87"/>
      <c r="S206" s="87"/>
      <c r="T206" s="87"/>
      <c r="U206" s="87"/>
      <c r="V206" s="87"/>
      <c r="W206" s="87"/>
      <c r="X206" s="87"/>
      <c r="Y206" s="87"/>
      <c r="Z206" s="87"/>
      <c r="AA206" s="87"/>
      <c r="AB206" s="87"/>
      <c r="AC206" s="87"/>
      <c r="AD206" s="87"/>
      <c r="AE206" s="87"/>
      <c r="AF206" s="87"/>
      <c r="AG206" s="87"/>
      <c r="AH206" s="87"/>
      <c r="AI206" s="87"/>
      <c r="AJ206" s="87"/>
      <c r="AK206" s="87"/>
      <c r="AL206" s="87"/>
      <c r="AM206" s="87"/>
      <c r="AN206" s="87"/>
      <c r="AO206" s="87"/>
      <c r="AP206" s="87"/>
      <c r="AQ206" s="87"/>
      <c r="AR206" s="87"/>
      <c r="AS206" s="87"/>
    </row>
    <row r="207" spans="1:45">
      <c r="A207" s="87"/>
      <c r="B207" s="87"/>
      <c r="C207" s="87"/>
      <c r="D207" s="87"/>
      <c r="E207" s="87"/>
      <c r="F207" s="87"/>
      <c r="G207" s="87"/>
      <c r="H207" s="87"/>
      <c r="I207" s="87"/>
      <c r="J207" s="87"/>
      <c r="K207" s="87"/>
      <c r="L207" s="87"/>
      <c r="M207" s="87"/>
      <c r="N207" s="87"/>
      <c r="O207" s="87"/>
      <c r="P207" s="87"/>
      <c r="Q207" s="87"/>
      <c r="R207" s="87"/>
      <c r="S207" s="87"/>
      <c r="T207" s="87"/>
      <c r="U207" s="87"/>
      <c r="V207" s="87"/>
      <c r="W207" s="87"/>
      <c r="X207" s="87"/>
      <c r="Y207" s="87"/>
      <c r="Z207" s="87"/>
      <c r="AA207" s="87"/>
      <c r="AB207" s="87"/>
      <c r="AC207" s="87"/>
      <c r="AD207" s="87"/>
      <c r="AE207" s="87"/>
      <c r="AF207" s="87"/>
      <c r="AG207" s="87"/>
      <c r="AH207" s="87"/>
      <c r="AI207" s="87"/>
      <c r="AJ207" s="87"/>
      <c r="AK207" s="87"/>
      <c r="AL207" s="87"/>
      <c r="AM207" s="87"/>
      <c r="AN207" s="87"/>
      <c r="AO207" s="87"/>
      <c r="AP207" s="87"/>
      <c r="AQ207" s="87"/>
      <c r="AR207" s="87"/>
      <c r="AS207" s="87"/>
    </row>
    <row r="208" spans="1:45">
      <c r="A208" s="87"/>
      <c r="B208" s="87"/>
      <c r="C208" s="87"/>
      <c r="D208" s="87"/>
      <c r="E208" s="87"/>
      <c r="F208" s="87"/>
      <c r="G208" s="87"/>
      <c r="H208" s="87"/>
      <c r="I208" s="87"/>
      <c r="J208" s="87"/>
      <c r="K208" s="87"/>
      <c r="L208" s="87"/>
      <c r="M208" s="87"/>
      <c r="N208" s="87"/>
      <c r="O208" s="87"/>
      <c r="P208" s="87"/>
      <c r="Q208" s="87"/>
      <c r="R208" s="87"/>
      <c r="S208" s="87"/>
      <c r="T208" s="87"/>
      <c r="U208" s="87"/>
      <c r="V208" s="87"/>
      <c r="W208" s="87"/>
      <c r="X208" s="87"/>
      <c r="Y208" s="87"/>
      <c r="Z208" s="87"/>
      <c r="AA208" s="87"/>
      <c r="AB208" s="87"/>
      <c r="AC208" s="87"/>
      <c r="AD208" s="87"/>
      <c r="AE208" s="87"/>
      <c r="AF208" s="87"/>
      <c r="AG208" s="87"/>
      <c r="AH208" s="87"/>
      <c r="AI208" s="87"/>
      <c r="AJ208" s="87"/>
      <c r="AK208" s="87"/>
      <c r="AL208" s="87"/>
      <c r="AM208" s="87"/>
      <c r="AN208" s="87"/>
      <c r="AO208" s="87"/>
      <c r="AP208" s="87"/>
      <c r="AQ208" s="87"/>
      <c r="AR208" s="87"/>
      <c r="AS208" s="87"/>
    </row>
    <row r="209" spans="1:45">
      <c r="A209" s="87"/>
      <c r="B209" s="87"/>
      <c r="C209" s="87"/>
      <c r="D209" s="87"/>
      <c r="E209" s="87"/>
      <c r="F209" s="87"/>
      <c r="G209" s="87"/>
      <c r="H209" s="87"/>
      <c r="I209" s="87"/>
      <c r="J209" s="87"/>
      <c r="K209" s="87"/>
      <c r="L209" s="87"/>
      <c r="M209" s="87"/>
      <c r="N209" s="87"/>
      <c r="O209" s="87"/>
      <c r="P209" s="87"/>
      <c r="Q209" s="87"/>
      <c r="R209" s="87"/>
      <c r="S209" s="87"/>
      <c r="T209" s="87"/>
      <c r="U209" s="87"/>
      <c r="V209" s="87"/>
      <c r="W209" s="87"/>
      <c r="X209" s="87"/>
      <c r="Y209" s="87"/>
      <c r="Z209" s="87"/>
      <c r="AA209" s="87"/>
      <c r="AB209" s="87"/>
      <c r="AC209" s="87"/>
      <c r="AD209" s="87"/>
      <c r="AE209" s="87"/>
      <c r="AF209" s="87"/>
      <c r="AG209" s="87"/>
      <c r="AH209" s="87"/>
      <c r="AI209" s="87"/>
      <c r="AJ209" s="87"/>
      <c r="AK209" s="87"/>
      <c r="AL209" s="87"/>
      <c r="AM209" s="87"/>
      <c r="AN209" s="87"/>
      <c r="AO209" s="87"/>
      <c r="AP209" s="87"/>
      <c r="AQ209" s="87"/>
      <c r="AR209" s="87"/>
      <c r="AS209" s="87"/>
    </row>
    <row r="210" spans="1:45">
      <c r="A210" s="87"/>
      <c r="B210" s="87"/>
      <c r="C210" s="87"/>
      <c r="D210" s="87"/>
      <c r="E210" s="87"/>
      <c r="F210" s="87"/>
      <c r="G210" s="87"/>
      <c r="H210" s="87"/>
      <c r="I210" s="87"/>
      <c r="J210" s="87"/>
      <c r="K210" s="87"/>
      <c r="L210" s="87"/>
      <c r="M210" s="87"/>
      <c r="N210" s="87"/>
      <c r="O210" s="87"/>
      <c r="P210" s="87"/>
      <c r="Q210" s="87"/>
      <c r="R210" s="87"/>
      <c r="S210" s="87"/>
      <c r="T210" s="87"/>
      <c r="U210" s="87"/>
      <c r="V210" s="87"/>
      <c r="W210" s="87"/>
      <c r="X210" s="87"/>
      <c r="Y210" s="87"/>
      <c r="Z210" s="87"/>
      <c r="AA210" s="87"/>
      <c r="AB210" s="87"/>
      <c r="AC210" s="87"/>
      <c r="AD210" s="87"/>
      <c r="AE210" s="87"/>
      <c r="AF210" s="87"/>
      <c r="AG210" s="87"/>
      <c r="AH210" s="87"/>
      <c r="AI210" s="87"/>
      <c r="AJ210" s="87"/>
      <c r="AK210" s="87"/>
      <c r="AL210" s="87"/>
      <c r="AM210" s="87"/>
      <c r="AN210" s="87"/>
      <c r="AO210" s="87"/>
      <c r="AP210" s="87"/>
      <c r="AQ210" s="87"/>
      <c r="AR210" s="87"/>
      <c r="AS210" s="87"/>
    </row>
    <row r="211" spans="1:45">
      <c r="A211" s="87"/>
      <c r="B211" s="87"/>
      <c r="C211" s="87"/>
      <c r="D211" s="87"/>
      <c r="E211" s="87"/>
      <c r="F211" s="87"/>
      <c r="G211" s="87"/>
      <c r="H211" s="87"/>
      <c r="I211" s="87"/>
      <c r="J211" s="87"/>
      <c r="K211" s="87"/>
      <c r="L211" s="87"/>
      <c r="M211" s="87"/>
      <c r="N211" s="87"/>
      <c r="O211" s="87"/>
      <c r="P211" s="87"/>
      <c r="Q211" s="87"/>
      <c r="R211" s="87"/>
      <c r="S211" s="87"/>
      <c r="T211" s="87"/>
      <c r="U211" s="87"/>
      <c r="V211" s="87"/>
      <c r="W211" s="87"/>
      <c r="X211" s="87"/>
      <c r="Y211" s="87"/>
      <c r="Z211" s="87"/>
      <c r="AA211" s="87"/>
      <c r="AB211" s="87"/>
      <c r="AC211" s="87"/>
      <c r="AD211" s="87"/>
      <c r="AE211" s="87"/>
      <c r="AF211" s="87"/>
      <c r="AG211" s="87"/>
      <c r="AH211" s="87"/>
      <c r="AI211" s="87"/>
      <c r="AJ211" s="87"/>
      <c r="AK211" s="87"/>
      <c r="AL211" s="87"/>
      <c r="AM211" s="87"/>
      <c r="AN211" s="87"/>
      <c r="AO211" s="87"/>
      <c r="AP211" s="87"/>
      <c r="AQ211" s="87"/>
      <c r="AR211" s="87"/>
      <c r="AS211" s="87"/>
    </row>
    <row r="212" spans="1:45">
      <c r="A212" s="87"/>
      <c r="B212" s="87"/>
      <c r="C212" s="87"/>
      <c r="D212" s="87"/>
      <c r="E212" s="87"/>
      <c r="F212" s="87"/>
      <c r="G212" s="87"/>
      <c r="H212" s="87"/>
      <c r="I212" s="87"/>
      <c r="J212" s="87"/>
      <c r="K212" s="87"/>
      <c r="L212" s="87"/>
      <c r="M212" s="87"/>
      <c r="N212" s="87"/>
      <c r="O212" s="87"/>
      <c r="P212" s="87"/>
      <c r="Q212" s="87"/>
      <c r="R212" s="87"/>
      <c r="S212" s="87"/>
      <c r="T212" s="87"/>
      <c r="U212" s="87"/>
      <c r="V212" s="87"/>
      <c r="W212" s="87"/>
      <c r="X212" s="87"/>
      <c r="Y212" s="87"/>
      <c r="Z212" s="87"/>
      <c r="AA212" s="87"/>
      <c r="AB212" s="87"/>
      <c r="AC212" s="87"/>
      <c r="AD212" s="87"/>
      <c r="AE212" s="87"/>
      <c r="AF212" s="87"/>
      <c r="AG212" s="87"/>
      <c r="AH212" s="87"/>
      <c r="AI212" s="87"/>
      <c r="AJ212" s="87"/>
      <c r="AK212" s="87"/>
      <c r="AL212" s="87"/>
      <c r="AM212" s="87"/>
      <c r="AN212" s="87"/>
      <c r="AO212" s="87"/>
      <c r="AP212" s="87"/>
      <c r="AQ212" s="87"/>
      <c r="AR212" s="87"/>
      <c r="AS212" s="87"/>
    </row>
    <row r="213" spans="1:45">
      <c r="A213" s="87"/>
      <c r="B213" s="87"/>
      <c r="C213" s="87"/>
      <c r="D213" s="87"/>
      <c r="E213" s="87"/>
      <c r="F213" s="87"/>
      <c r="G213" s="87"/>
      <c r="H213" s="87"/>
      <c r="I213" s="87"/>
      <c r="J213" s="87"/>
      <c r="K213" s="87"/>
      <c r="L213" s="87"/>
      <c r="M213" s="87"/>
      <c r="N213" s="87"/>
      <c r="O213" s="87"/>
      <c r="P213" s="87"/>
      <c r="Q213" s="87"/>
      <c r="R213" s="87"/>
      <c r="S213" s="87"/>
      <c r="T213" s="87"/>
      <c r="U213" s="87"/>
      <c r="V213" s="87"/>
      <c r="W213" s="87"/>
      <c r="X213" s="87"/>
      <c r="Y213" s="87"/>
      <c r="Z213" s="87"/>
      <c r="AA213" s="87"/>
      <c r="AB213" s="87"/>
      <c r="AC213" s="87"/>
      <c r="AD213" s="87"/>
      <c r="AE213" s="87"/>
      <c r="AF213" s="87"/>
      <c r="AG213" s="87"/>
      <c r="AH213" s="87"/>
      <c r="AI213" s="87"/>
      <c r="AJ213" s="87"/>
      <c r="AK213" s="87"/>
      <c r="AL213" s="87"/>
      <c r="AM213" s="87"/>
      <c r="AN213" s="87"/>
      <c r="AO213" s="87"/>
      <c r="AP213" s="87"/>
      <c r="AQ213" s="87"/>
      <c r="AR213" s="87"/>
      <c r="AS213" s="87"/>
    </row>
    <row r="214" spans="1:45">
      <c r="A214" s="87"/>
      <c r="B214" s="87"/>
      <c r="C214" s="87"/>
      <c r="D214" s="87"/>
      <c r="E214" s="87"/>
      <c r="F214" s="87"/>
      <c r="G214" s="87"/>
      <c r="H214" s="87"/>
      <c r="I214" s="87"/>
      <c r="J214" s="87"/>
      <c r="K214" s="87"/>
      <c r="L214" s="87"/>
      <c r="M214" s="87"/>
      <c r="N214" s="87"/>
      <c r="O214" s="87"/>
      <c r="P214" s="87"/>
      <c r="Q214" s="87"/>
      <c r="R214" s="87"/>
      <c r="S214" s="87"/>
      <c r="T214" s="87"/>
      <c r="U214" s="87"/>
      <c r="V214" s="87"/>
      <c r="W214" s="87"/>
      <c r="X214" s="87"/>
      <c r="Y214" s="87"/>
      <c r="Z214" s="87"/>
      <c r="AA214" s="87"/>
      <c r="AB214" s="87"/>
      <c r="AC214" s="87"/>
      <c r="AD214" s="87"/>
      <c r="AE214" s="87"/>
      <c r="AF214" s="87"/>
      <c r="AG214" s="87"/>
      <c r="AH214" s="87"/>
      <c r="AI214" s="87"/>
      <c r="AJ214" s="87"/>
      <c r="AK214" s="87"/>
      <c r="AL214" s="87"/>
      <c r="AM214" s="87"/>
      <c r="AN214" s="87"/>
      <c r="AO214" s="87"/>
      <c r="AP214" s="87"/>
      <c r="AQ214" s="87"/>
      <c r="AR214" s="87"/>
      <c r="AS214" s="87"/>
    </row>
    <row r="215" spans="1:45">
      <c r="A215" s="87"/>
      <c r="B215" s="87"/>
      <c r="C215" s="87"/>
      <c r="D215" s="87"/>
      <c r="E215" s="87"/>
      <c r="F215" s="87"/>
      <c r="G215" s="87"/>
      <c r="H215" s="87"/>
      <c r="I215" s="87"/>
      <c r="J215" s="87"/>
      <c r="K215" s="87"/>
      <c r="L215" s="87"/>
      <c r="M215" s="87"/>
      <c r="N215" s="87"/>
      <c r="O215" s="87"/>
      <c r="P215" s="87"/>
      <c r="Q215" s="87"/>
      <c r="R215" s="87"/>
      <c r="S215" s="87"/>
      <c r="T215" s="87"/>
      <c r="U215" s="87"/>
      <c r="V215" s="87"/>
      <c r="W215" s="87"/>
      <c r="X215" s="87"/>
      <c r="Y215" s="87"/>
      <c r="Z215" s="87"/>
      <c r="AA215" s="87"/>
      <c r="AB215" s="87"/>
      <c r="AC215" s="87"/>
      <c r="AD215" s="87"/>
      <c r="AE215" s="87"/>
      <c r="AF215" s="87"/>
      <c r="AG215" s="87"/>
      <c r="AH215" s="87"/>
      <c r="AI215" s="87"/>
      <c r="AJ215" s="87"/>
      <c r="AK215" s="87"/>
      <c r="AL215" s="87"/>
      <c r="AM215" s="87"/>
      <c r="AN215" s="87"/>
      <c r="AO215" s="87"/>
      <c r="AP215" s="87"/>
      <c r="AQ215" s="87"/>
      <c r="AR215" s="87"/>
      <c r="AS215" s="87"/>
    </row>
    <row r="216" spans="1:45">
      <c r="A216" s="87"/>
      <c r="B216" s="87"/>
      <c r="C216" s="87"/>
      <c r="D216" s="87"/>
      <c r="E216" s="87"/>
      <c r="F216" s="87"/>
      <c r="G216" s="87"/>
      <c r="H216" s="87"/>
      <c r="I216" s="87"/>
      <c r="J216" s="87"/>
      <c r="K216" s="87"/>
      <c r="L216" s="87"/>
      <c r="M216" s="87"/>
      <c r="N216" s="87"/>
      <c r="O216" s="87"/>
      <c r="P216" s="87"/>
      <c r="Q216" s="87"/>
      <c r="R216" s="87"/>
      <c r="S216" s="87"/>
      <c r="T216" s="87"/>
      <c r="U216" s="87"/>
      <c r="V216" s="87"/>
      <c r="W216" s="87"/>
      <c r="X216" s="87"/>
      <c r="Y216" s="87"/>
      <c r="Z216" s="87"/>
      <c r="AA216" s="87"/>
      <c r="AB216" s="87"/>
      <c r="AC216" s="87"/>
      <c r="AD216" s="87"/>
      <c r="AE216" s="87"/>
      <c r="AF216" s="87"/>
      <c r="AG216" s="87"/>
      <c r="AH216" s="87"/>
      <c r="AI216" s="87"/>
      <c r="AJ216" s="87"/>
      <c r="AK216" s="87"/>
      <c r="AL216" s="87"/>
      <c r="AM216" s="87"/>
      <c r="AN216" s="87"/>
      <c r="AO216" s="87"/>
      <c r="AP216" s="87"/>
      <c r="AQ216" s="87"/>
      <c r="AR216" s="87"/>
      <c r="AS216" s="87"/>
    </row>
    <row r="217" spans="1:45">
      <c r="A217" s="87"/>
      <c r="B217" s="87"/>
      <c r="C217" s="87"/>
      <c r="D217" s="87"/>
      <c r="E217" s="87"/>
      <c r="F217" s="87"/>
      <c r="G217" s="87"/>
      <c r="H217" s="87"/>
      <c r="I217" s="87"/>
      <c r="J217" s="87"/>
      <c r="K217" s="87"/>
      <c r="L217" s="87"/>
      <c r="M217" s="87"/>
      <c r="N217" s="87"/>
      <c r="O217" s="87"/>
      <c r="P217" s="87"/>
      <c r="Q217" s="87"/>
      <c r="R217" s="87"/>
      <c r="S217" s="87"/>
      <c r="T217" s="87"/>
      <c r="U217" s="87"/>
      <c r="V217" s="87"/>
      <c r="W217" s="87"/>
      <c r="X217" s="87"/>
      <c r="Y217" s="87"/>
      <c r="Z217" s="87"/>
      <c r="AA217" s="87"/>
      <c r="AB217" s="87"/>
      <c r="AC217" s="87"/>
      <c r="AD217" s="87"/>
      <c r="AE217" s="87"/>
      <c r="AF217" s="87"/>
      <c r="AG217" s="87"/>
      <c r="AH217" s="87"/>
      <c r="AI217" s="87"/>
      <c r="AJ217" s="87"/>
      <c r="AK217" s="87"/>
      <c r="AL217" s="87"/>
      <c r="AM217" s="87"/>
      <c r="AN217" s="87"/>
      <c r="AO217" s="87"/>
      <c r="AP217" s="87"/>
      <c r="AQ217" s="87"/>
      <c r="AR217" s="87"/>
      <c r="AS217" s="87"/>
    </row>
    <row r="218" spans="1:45">
      <c r="A218" s="87"/>
      <c r="B218" s="87"/>
      <c r="C218" s="87"/>
      <c r="D218" s="87"/>
      <c r="E218" s="87"/>
      <c r="F218" s="87"/>
      <c r="G218" s="87"/>
      <c r="H218" s="87"/>
      <c r="I218" s="87"/>
      <c r="J218" s="87"/>
      <c r="K218" s="87"/>
      <c r="L218" s="87"/>
      <c r="M218" s="87"/>
      <c r="N218" s="87"/>
      <c r="O218" s="87"/>
      <c r="P218" s="87"/>
      <c r="Q218" s="87"/>
      <c r="R218" s="87"/>
      <c r="S218" s="87"/>
      <c r="T218" s="87"/>
      <c r="U218" s="87"/>
      <c r="V218" s="87"/>
      <c r="W218" s="87"/>
      <c r="X218" s="87"/>
      <c r="Y218" s="87"/>
      <c r="Z218" s="87"/>
      <c r="AA218" s="87"/>
      <c r="AB218" s="87"/>
      <c r="AC218" s="87"/>
      <c r="AD218" s="87"/>
      <c r="AE218" s="87"/>
      <c r="AF218" s="87"/>
      <c r="AG218" s="87"/>
      <c r="AH218" s="87"/>
      <c r="AI218" s="87"/>
      <c r="AJ218" s="87"/>
      <c r="AK218" s="87"/>
      <c r="AL218" s="87"/>
      <c r="AM218" s="87"/>
      <c r="AN218" s="87"/>
      <c r="AO218" s="87"/>
      <c r="AP218" s="87"/>
      <c r="AQ218" s="87"/>
      <c r="AR218" s="87"/>
      <c r="AS218" s="87"/>
    </row>
    <row r="219" spans="1:45">
      <c r="A219" s="87"/>
      <c r="B219" s="87"/>
      <c r="C219" s="87"/>
      <c r="D219" s="87"/>
      <c r="E219" s="87"/>
      <c r="F219" s="87"/>
      <c r="G219" s="87"/>
      <c r="H219" s="87"/>
      <c r="I219" s="87"/>
      <c r="J219" s="87"/>
      <c r="K219" s="87"/>
      <c r="L219" s="87"/>
      <c r="M219" s="87"/>
      <c r="N219" s="87"/>
      <c r="O219" s="87"/>
      <c r="P219" s="87"/>
      <c r="Q219" s="87"/>
      <c r="R219" s="87"/>
      <c r="S219" s="87"/>
      <c r="T219" s="87"/>
      <c r="U219" s="87"/>
      <c r="V219" s="87"/>
      <c r="W219" s="87"/>
      <c r="X219" s="87"/>
      <c r="Y219" s="87"/>
      <c r="Z219" s="87"/>
      <c r="AA219" s="87"/>
      <c r="AB219" s="87"/>
      <c r="AC219" s="87"/>
      <c r="AD219" s="87"/>
      <c r="AE219" s="87"/>
      <c r="AF219" s="87"/>
      <c r="AG219" s="87"/>
      <c r="AH219" s="87"/>
      <c r="AI219" s="87"/>
      <c r="AJ219" s="87"/>
      <c r="AK219" s="87"/>
      <c r="AL219" s="87"/>
      <c r="AM219" s="87"/>
      <c r="AN219" s="87"/>
      <c r="AO219" s="87"/>
      <c r="AP219" s="87"/>
      <c r="AQ219" s="87"/>
      <c r="AR219" s="87"/>
      <c r="AS219" s="87"/>
    </row>
    <row r="220" spans="1:45">
      <c r="A220" s="87"/>
      <c r="B220" s="87"/>
      <c r="C220" s="87"/>
      <c r="D220" s="87"/>
      <c r="E220" s="87"/>
      <c r="F220" s="87"/>
      <c r="G220" s="87"/>
      <c r="H220" s="87"/>
      <c r="I220" s="87"/>
      <c r="J220" s="87"/>
      <c r="K220" s="87"/>
      <c r="L220" s="87"/>
      <c r="M220" s="87"/>
      <c r="N220" s="87"/>
      <c r="O220" s="87"/>
      <c r="P220" s="87"/>
      <c r="Q220" s="87"/>
      <c r="R220" s="87"/>
      <c r="S220" s="87"/>
      <c r="T220" s="87"/>
      <c r="U220" s="87"/>
      <c r="V220" s="87"/>
      <c r="W220" s="87"/>
      <c r="X220" s="87"/>
      <c r="Y220" s="87"/>
      <c r="Z220" s="87"/>
      <c r="AA220" s="87"/>
      <c r="AB220" s="87"/>
      <c r="AC220" s="87"/>
      <c r="AD220" s="87"/>
      <c r="AE220" s="87"/>
      <c r="AF220" s="87"/>
      <c r="AG220" s="87"/>
      <c r="AH220" s="87"/>
      <c r="AI220" s="87"/>
      <c r="AJ220" s="87"/>
      <c r="AK220" s="87"/>
      <c r="AL220" s="87"/>
      <c r="AM220" s="87"/>
      <c r="AN220" s="87"/>
      <c r="AO220" s="87"/>
      <c r="AP220" s="87"/>
      <c r="AQ220" s="87"/>
      <c r="AR220" s="87"/>
      <c r="AS220" s="87"/>
    </row>
    <row r="221" spans="1:45">
      <c r="A221" s="87"/>
      <c r="B221" s="87"/>
      <c r="C221" s="87"/>
      <c r="D221" s="87"/>
      <c r="E221" s="87"/>
      <c r="F221" s="87"/>
      <c r="G221" s="87"/>
      <c r="H221" s="87"/>
      <c r="I221" s="87"/>
      <c r="J221" s="87"/>
      <c r="K221" s="87"/>
      <c r="L221" s="87"/>
      <c r="M221" s="87"/>
      <c r="N221" s="87"/>
      <c r="O221" s="87"/>
      <c r="P221" s="87"/>
      <c r="Q221" s="87"/>
      <c r="R221" s="87"/>
      <c r="S221" s="87"/>
      <c r="T221" s="87"/>
      <c r="U221" s="87"/>
      <c r="V221" s="87"/>
      <c r="W221" s="87"/>
      <c r="X221" s="87"/>
      <c r="Y221" s="87"/>
      <c r="Z221" s="87"/>
      <c r="AA221" s="87"/>
      <c r="AB221" s="87"/>
      <c r="AC221" s="87"/>
      <c r="AD221" s="87"/>
      <c r="AE221" s="87"/>
      <c r="AF221" s="87"/>
      <c r="AG221" s="87"/>
      <c r="AH221" s="87"/>
      <c r="AI221" s="87"/>
      <c r="AJ221" s="87"/>
      <c r="AK221" s="87"/>
      <c r="AL221" s="87"/>
      <c r="AM221" s="87"/>
      <c r="AN221" s="87"/>
      <c r="AO221" s="87"/>
      <c r="AP221" s="87"/>
      <c r="AQ221" s="87"/>
      <c r="AR221" s="87"/>
      <c r="AS221" s="87"/>
    </row>
    <row r="222" spans="1:45">
      <c r="A222" s="87"/>
      <c r="B222" s="87"/>
      <c r="C222" s="87"/>
      <c r="D222" s="87"/>
      <c r="E222" s="87"/>
      <c r="F222" s="87"/>
      <c r="G222" s="87"/>
      <c r="H222" s="87"/>
      <c r="I222" s="87"/>
      <c r="J222" s="87"/>
      <c r="K222" s="87"/>
      <c r="L222" s="87"/>
      <c r="M222" s="87"/>
      <c r="N222" s="87"/>
      <c r="O222" s="87"/>
      <c r="P222" s="87"/>
      <c r="Q222" s="87"/>
      <c r="R222" s="87"/>
      <c r="S222" s="87"/>
      <c r="T222" s="87"/>
      <c r="U222" s="87"/>
      <c r="V222" s="87"/>
      <c r="W222" s="87"/>
      <c r="X222" s="87"/>
      <c r="Y222" s="87"/>
      <c r="Z222" s="87"/>
      <c r="AA222" s="87"/>
      <c r="AB222" s="87"/>
      <c r="AC222" s="87"/>
      <c r="AD222" s="87"/>
      <c r="AE222" s="87"/>
      <c r="AF222" s="87"/>
      <c r="AG222" s="87"/>
      <c r="AH222" s="87"/>
      <c r="AI222" s="87"/>
      <c r="AJ222" s="87"/>
      <c r="AK222" s="87"/>
      <c r="AL222" s="87"/>
      <c r="AM222" s="87"/>
      <c r="AN222" s="87"/>
      <c r="AO222" s="87"/>
      <c r="AP222" s="87"/>
      <c r="AQ222" s="87"/>
      <c r="AR222" s="87"/>
      <c r="AS222" s="87"/>
    </row>
    <row r="223" spans="1:45">
      <c r="A223" s="87"/>
      <c r="B223" s="87"/>
      <c r="C223" s="87"/>
      <c r="D223" s="87"/>
      <c r="E223" s="87"/>
      <c r="F223" s="87"/>
      <c r="G223" s="87"/>
      <c r="H223" s="87"/>
      <c r="I223" s="87"/>
      <c r="J223" s="87"/>
      <c r="K223" s="87"/>
      <c r="L223" s="87"/>
      <c r="M223" s="87"/>
      <c r="N223" s="87"/>
      <c r="O223" s="87"/>
      <c r="P223" s="87"/>
      <c r="Q223" s="87"/>
      <c r="R223" s="87"/>
      <c r="S223" s="87"/>
      <c r="T223" s="87"/>
      <c r="U223" s="87"/>
      <c r="V223" s="87"/>
      <c r="W223" s="87"/>
      <c r="X223" s="87"/>
      <c r="Y223" s="87"/>
      <c r="Z223" s="87"/>
      <c r="AA223" s="87"/>
      <c r="AB223" s="87"/>
      <c r="AC223" s="87"/>
      <c r="AD223" s="87"/>
      <c r="AE223" s="87"/>
      <c r="AF223" s="87"/>
      <c r="AG223" s="87"/>
      <c r="AH223" s="87"/>
      <c r="AI223" s="87"/>
      <c r="AJ223" s="87"/>
      <c r="AK223" s="87"/>
      <c r="AL223" s="87"/>
      <c r="AM223" s="87"/>
      <c r="AN223" s="87"/>
      <c r="AO223" s="87"/>
      <c r="AP223" s="87"/>
      <c r="AQ223" s="87"/>
      <c r="AR223" s="87"/>
      <c r="AS223" s="87"/>
    </row>
    <row r="224" spans="1:45">
      <c r="A224" s="87"/>
      <c r="B224" s="87"/>
      <c r="C224" s="87"/>
      <c r="D224" s="87"/>
      <c r="E224" s="87"/>
      <c r="F224" s="87"/>
      <c r="G224" s="87"/>
      <c r="H224" s="87"/>
      <c r="I224" s="87"/>
      <c r="J224" s="87"/>
      <c r="K224" s="87"/>
      <c r="L224" s="87"/>
      <c r="M224" s="87"/>
      <c r="N224" s="87"/>
      <c r="O224" s="87"/>
      <c r="P224" s="87"/>
      <c r="Q224" s="87"/>
      <c r="R224" s="87"/>
      <c r="S224" s="87"/>
      <c r="T224" s="87"/>
      <c r="U224" s="87"/>
      <c r="V224" s="87"/>
      <c r="W224" s="87"/>
      <c r="X224" s="87"/>
      <c r="Y224" s="87"/>
      <c r="Z224" s="87"/>
      <c r="AA224" s="87"/>
      <c r="AB224" s="87"/>
      <c r="AC224" s="87"/>
      <c r="AD224" s="87"/>
      <c r="AE224" s="87"/>
      <c r="AF224" s="87"/>
      <c r="AG224" s="87"/>
      <c r="AH224" s="87"/>
      <c r="AI224" s="87"/>
      <c r="AJ224" s="87"/>
      <c r="AK224" s="87"/>
      <c r="AL224" s="87"/>
      <c r="AM224" s="87"/>
      <c r="AN224" s="87"/>
      <c r="AO224" s="87"/>
      <c r="AP224" s="87"/>
      <c r="AQ224" s="87"/>
      <c r="AR224" s="87"/>
      <c r="AS224" s="87"/>
    </row>
    <row r="225" spans="1:45">
      <c r="A225" s="87"/>
      <c r="B225" s="87"/>
      <c r="C225" s="87"/>
      <c r="D225" s="87"/>
      <c r="E225" s="87"/>
      <c r="F225" s="87"/>
      <c r="G225" s="87"/>
      <c r="H225" s="87"/>
      <c r="I225" s="87"/>
      <c r="J225" s="87"/>
      <c r="K225" s="87"/>
      <c r="L225" s="87"/>
      <c r="M225" s="87"/>
      <c r="N225" s="87"/>
      <c r="O225" s="87"/>
      <c r="P225" s="87"/>
      <c r="Q225" s="87"/>
      <c r="R225" s="87"/>
      <c r="S225" s="87"/>
      <c r="T225" s="87"/>
      <c r="U225" s="87"/>
      <c r="V225" s="87"/>
      <c r="W225" s="87"/>
      <c r="X225" s="87"/>
      <c r="Y225" s="87"/>
      <c r="Z225" s="87"/>
      <c r="AA225" s="87"/>
      <c r="AB225" s="87"/>
      <c r="AC225" s="87"/>
      <c r="AD225" s="87"/>
      <c r="AE225" s="87"/>
      <c r="AF225" s="87"/>
      <c r="AG225" s="87"/>
      <c r="AH225" s="87"/>
      <c r="AI225" s="87"/>
      <c r="AJ225" s="87"/>
      <c r="AK225" s="87"/>
      <c r="AL225" s="87"/>
      <c r="AM225" s="87"/>
      <c r="AN225" s="87"/>
      <c r="AO225" s="87"/>
      <c r="AP225" s="87"/>
      <c r="AQ225" s="87"/>
      <c r="AR225" s="87"/>
      <c r="AS225" s="87"/>
    </row>
    <row r="226" spans="1:45">
      <c r="A226" s="87"/>
      <c r="B226" s="87"/>
      <c r="C226" s="87"/>
      <c r="D226" s="87"/>
      <c r="E226" s="87"/>
      <c r="F226" s="87"/>
      <c r="G226" s="87"/>
      <c r="H226" s="87"/>
      <c r="I226" s="87"/>
      <c r="J226" s="87"/>
      <c r="K226" s="87"/>
      <c r="L226" s="87"/>
      <c r="M226" s="87"/>
      <c r="N226" s="87"/>
      <c r="O226" s="87"/>
      <c r="P226" s="87"/>
      <c r="Q226" s="87"/>
      <c r="R226" s="87"/>
      <c r="S226" s="87"/>
      <c r="T226" s="87"/>
      <c r="U226" s="87"/>
      <c r="V226" s="87"/>
      <c r="W226" s="87"/>
      <c r="X226" s="87"/>
      <c r="Y226" s="87"/>
      <c r="Z226" s="87"/>
      <c r="AA226" s="87"/>
      <c r="AB226" s="87"/>
      <c r="AC226" s="87"/>
      <c r="AD226" s="87"/>
      <c r="AE226" s="87"/>
      <c r="AF226" s="87"/>
      <c r="AG226" s="87"/>
      <c r="AH226" s="87"/>
      <c r="AI226" s="87"/>
      <c r="AJ226" s="87"/>
      <c r="AK226" s="87"/>
      <c r="AL226" s="87"/>
      <c r="AM226" s="87"/>
      <c r="AN226" s="87"/>
      <c r="AO226" s="87"/>
      <c r="AP226" s="87"/>
      <c r="AQ226" s="87"/>
      <c r="AR226" s="87"/>
      <c r="AS226" s="87"/>
    </row>
    <row r="227" spans="1:45">
      <c r="A227" s="87"/>
      <c r="B227" s="87"/>
      <c r="C227" s="87"/>
      <c r="D227" s="87"/>
      <c r="E227" s="87"/>
      <c r="F227" s="87"/>
      <c r="G227" s="87"/>
      <c r="H227" s="87"/>
      <c r="I227" s="87"/>
      <c r="J227" s="87"/>
      <c r="K227" s="87"/>
      <c r="L227" s="87"/>
      <c r="M227" s="87"/>
      <c r="N227" s="87"/>
      <c r="O227" s="87"/>
      <c r="P227" s="87"/>
      <c r="Q227" s="87"/>
      <c r="R227" s="87"/>
      <c r="S227" s="87"/>
      <c r="T227" s="87"/>
      <c r="U227" s="87"/>
      <c r="V227" s="87"/>
      <c r="W227" s="87"/>
      <c r="X227" s="87"/>
      <c r="Y227" s="87"/>
      <c r="Z227" s="87"/>
      <c r="AA227" s="87"/>
      <c r="AB227" s="87"/>
      <c r="AC227" s="87"/>
      <c r="AD227" s="87"/>
      <c r="AE227" s="87"/>
      <c r="AF227" s="87"/>
      <c r="AG227" s="87"/>
      <c r="AH227" s="87"/>
      <c r="AI227" s="87"/>
      <c r="AJ227" s="87"/>
      <c r="AK227" s="87"/>
      <c r="AL227" s="87"/>
      <c r="AM227" s="87"/>
      <c r="AN227" s="87"/>
      <c r="AO227" s="87"/>
      <c r="AP227" s="87"/>
      <c r="AQ227" s="87"/>
      <c r="AR227" s="87"/>
      <c r="AS227" s="87"/>
    </row>
    <row r="228" spans="1:45">
      <c r="A228" s="87"/>
      <c r="B228" s="87"/>
      <c r="C228" s="87"/>
      <c r="D228" s="87"/>
      <c r="E228" s="87"/>
      <c r="F228" s="87"/>
      <c r="G228" s="87"/>
      <c r="H228" s="87"/>
      <c r="I228" s="87"/>
      <c r="J228" s="87"/>
      <c r="K228" s="87"/>
      <c r="L228" s="87"/>
      <c r="M228" s="87"/>
      <c r="N228" s="87"/>
      <c r="O228" s="87"/>
      <c r="P228" s="87"/>
      <c r="Q228" s="87"/>
      <c r="R228" s="87"/>
      <c r="S228" s="87"/>
      <c r="T228" s="87"/>
      <c r="U228" s="87"/>
      <c r="V228" s="87"/>
      <c r="W228" s="87"/>
      <c r="X228" s="87"/>
      <c r="Y228" s="87"/>
      <c r="Z228" s="87"/>
      <c r="AA228" s="87"/>
      <c r="AB228" s="87"/>
      <c r="AC228" s="87"/>
      <c r="AD228" s="87"/>
      <c r="AE228" s="87"/>
      <c r="AF228" s="87"/>
      <c r="AG228" s="87"/>
      <c r="AH228" s="87"/>
      <c r="AI228" s="87"/>
      <c r="AJ228" s="87"/>
      <c r="AK228" s="87"/>
      <c r="AL228" s="87"/>
      <c r="AM228" s="87"/>
      <c r="AN228" s="87"/>
      <c r="AO228" s="87"/>
      <c r="AP228" s="87"/>
      <c r="AQ228" s="87"/>
      <c r="AR228" s="87"/>
      <c r="AS228" s="87"/>
    </row>
    <row r="229" spans="1:45">
      <c r="A229" s="87"/>
      <c r="B229" s="87"/>
      <c r="C229" s="87"/>
      <c r="D229" s="87"/>
      <c r="E229" s="87"/>
      <c r="F229" s="87"/>
      <c r="G229" s="87"/>
      <c r="H229" s="87"/>
      <c r="I229" s="87"/>
      <c r="J229" s="87"/>
      <c r="K229" s="87"/>
      <c r="L229" s="87"/>
      <c r="M229" s="87"/>
      <c r="N229" s="87"/>
      <c r="O229" s="87"/>
      <c r="P229" s="87"/>
      <c r="Q229" s="87"/>
      <c r="R229" s="87"/>
      <c r="S229" s="87"/>
      <c r="T229" s="87"/>
      <c r="U229" s="87"/>
      <c r="V229" s="87"/>
      <c r="W229" s="87"/>
      <c r="X229" s="87"/>
      <c r="Y229" s="87"/>
      <c r="Z229" s="87"/>
      <c r="AA229" s="87"/>
      <c r="AB229" s="87"/>
      <c r="AC229" s="87"/>
      <c r="AD229" s="87"/>
      <c r="AE229" s="87"/>
      <c r="AF229" s="87"/>
      <c r="AG229" s="87"/>
      <c r="AH229" s="87"/>
      <c r="AI229" s="87"/>
      <c r="AJ229" s="87"/>
      <c r="AK229" s="87"/>
      <c r="AL229" s="87"/>
      <c r="AM229" s="87"/>
      <c r="AN229" s="87"/>
      <c r="AO229" s="87"/>
      <c r="AP229" s="87"/>
      <c r="AQ229" s="87"/>
      <c r="AR229" s="87"/>
      <c r="AS229" s="87"/>
    </row>
    <row r="230" spans="1:45">
      <c r="A230" s="87"/>
      <c r="B230" s="87"/>
      <c r="C230" s="87"/>
      <c r="D230" s="87"/>
      <c r="E230" s="87"/>
      <c r="F230" s="87"/>
      <c r="G230" s="87"/>
      <c r="H230" s="87"/>
      <c r="I230" s="87"/>
      <c r="J230" s="87"/>
      <c r="K230" s="87"/>
      <c r="L230" s="87"/>
      <c r="M230" s="87"/>
      <c r="N230" s="87"/>
      <c r="O230" s="87"/>
      <c r="P230" s="87"/>
      <c r="Q230" s="87"/>
      <c r="R230" s="87"/>
      <c r="S230" s="87"/>
      <c r="T230" s="87"/>
      <c r="U230" s="87"/>
      <c r="V230" s="87"/>
      <c r="W230" s="87"/>
      <c r="X230" s="87"/>
      <c r="Y230" s="87"/>
      <c r="Z230" s="87"/>
      <c r="AA230" s="87"/>
      <c r="AB230" s="87"/>
      <c r="AC230" s="87"/>
      <c r="AD230" s="87"/>
      <c r="AE230" s="87"/>
      <c r="AF230" s="87"/>
      <c r="AG230" s="87"/>
      <c r="AH230" s="87"/>
      <c r="AI230" s="87"/>
      <c r="AJ230" s="87"/>
      <c r="AK230" s="87"/>
      <c r="AL230" s="87"/>
      <c r="AM230" s="87"/>
      <c r="AN230" s="87"/>
      <c r="AO230" s="87"/>
      <c r="AP230" s="87"/>
      <c r="AQ230" s="87"/>
      <c r="AR230" s="87"/>
      <c r="AS230" s="87"/>
    </row>
    <row r="231" spans="1:45">
      <c r="A231" s="87"/>
      <c r="B231" s="87"/>
      <c r="C231" s="87"/>
      <c r="D231" s="87"/>
      <c r="E231" s="87"/>
      <c r="F231" s="87"/>
      <c r="G231" s="87"/>
      <c r="H231" s="87"/>
      <c r="I231" s="87"/>
      <c r="J231" s="87"/>
      <c r="K231" s="87"/>
      <c r="L231" s="87"/>
      <c r="M231" s="87"/>
      <c r="N231" s="87"/>
      <c r="O231" s="87"/>
      <c r="P231" s="87"/>
      <c r="Q231" s="87"/>
      <c r="R231" s="87"/>
      <c r="S231" s="87"/>
      <c r="T231" s="87"/>
      <c r="U231" s="87"/>
      <c r="V231" s="87"/>
      <c r="W231" s="87"/>
      <c r="X231" s="87"/>
      <c r="Y231" s="87"/>
      <c r="Z231" s="87"/>
      <c r="AA231" s="87"/>
      <c r="AB231" s="87"/>
      <c r="AC231" s="87"/>
      <c r="AD231" s="87"/>
      <c r="AE231" s="87"/>
      <c r="AF231" s="87"/>
      <c r="AG231" s="87"/>
      <c r="AH231" s="87"/>
      <c r="AI231" s="87"/>
      <c r="AJ231" s="87"/>
      <c r="AK231" s="87"/>
      <c r="AL231" s="87"/>
      <c r="AM231" s="87"/>
      <c r="AN231" s="87"/>
      <c r="AO231" s="87"/>
      <c r="AP231" s="87"/>
      <c r="AQ231" s="87"/>
      <c r="AR231" s="87"/>
      <c r="AS231" s="87"/>
    </row>
    <row r="232" spans="1:45">
      <c r="A232" s="87"/>
      <c r="B232" s="87"/>
      <c r="C232" s="87"/>
      <c r="D232" s="87"/>
      <c r="E232" s="87"/>
      <c r="F232" s="87"/>
      <c r="G232" s="87"/>
      <c r="H232" s="87"/>
      <c r="I232" s="87"/>
      <c r="J232" s="87"/>
      <c r="K232" s="87"/>
      <c r="L232" s="87"/>
      <c r="M232" s="87"/>
      <c r="N232" s="87"/>
      <c r="O232" s="87"/>
      <c r="P232" s="87"/>
      <c r="Q232" s="87"/>
      <c r="R232" s="87"/>
      <c r="S232" s="87"/>
      <c r="T232" s="87"/>
      <c r="U232" s="87"/>
      <c r="V232" s="87"/>
      <c r="W232" s="87"/>
      <c r="X232" s="87"/>
      <c r="Y232" s="87"/>
      <c r="Z232" s="87"/>
      <c r="AA232" s="87"/>
      <c r="AB232" s="87"/>
      <c r="AC232" s="87"/>
      <c r="AD232" s="87"/>
      <c r="AE232" s="87"/>
      <c r="AF232" s="87"/>
      <c r="AG232" s="87"/>
      <c r="AH232" s="87"/>
      <c r="AI232" s="87"/>
      <c r="AJ232" s="87"/>
      <c r="AK232" s="87"/>
      <c r="AL232" s="87"/>
      <c r="AM232" s="87"/>
      <c r="AN232" s="87"/>
      <c r="AO232" s="87"/>
      <c r="AP232" s="87"/>
      <c r="AQ232" s="87"/>
      <c r="AR232" s="87"/>
      <c r="AS232" s="87"/>
    </row>
    <row r="233" spans="1:45">
      <c r="A233" s="87"/>
      <c r="B233" s="87"/>
      <c r="C233" s="87"/>
      <c r="D233" s="87"/>
      <c r="E233" s="87"/>
      <c r="F233" s="87"/>
      <c r="G233" s="87"/>
      <c r="H233" s="87"/>
      <c r="I233" s="87"/>
      <c r="J233" s="87"/>
      <c r="K233" s="87"/>
      <c r="L233" s="87"/>
      <c r="M233" s="87"/>
      <c r="N233" s="87"/>
      <c r="O233" s="87"/>
      <c r="P233" s="87"/>
      <c r="Q233" s="87"/>
      <c r="R233" s="87"/>
      <c r="S233" s="87"/>
      <c r="T233" s="87"/>
      <c r="U233" s="87"/>
      <c r="V233" s="87"/>
      <c r="W233" s="87"/>
      <c r="X233" s="87"/>
      <c r="Y233" s="87"/>
      <c r="Z233" s="87"/>
      <c r="AA233" s="87"/>
      <c r="AB233" s="87"/>
      <c r="AC233" s="87"/>
      <c r="AD233" s="87"/>
      <c r="AE233" s="87"/>
      <c r="AF233" s="87"/>
      <c r="AG233" s="87"/>
      <c r="AH233" s="87"/>
      <c r="AI233" s="87"/>
      <c r="AJ233" s="87"/>
      <c r="AK233" s="87"/>
      <c r="AL233" s="87"/>
      <c r="AM233" s="87"/>
      <c r="AN233" s="87"/>
      <c r="AO233" s="87"/>
      <c r="AP233" s="87"/>
      <c r="AQ233" s="87"/>
      <c r="AR233" s="87"/>
      <c r="AS233" s="87"/>
    </row>
    <row r="234" spans="1:45">
      <c r="A234" s="87"/>
      <c r="B234" s="87"/>
      <c r="C234" s="87"/>
      <c r="D234" s="87"/>
      <c r="E234" s="87"/>
      <c r="F234" s="87"/>
      <c r="G234" s="87"/>
      <c r="H234" s="87"/>
      <c r="I234" s="87"/>
      <c r="J234" s="87"/>
      <c r="K234" s="87"/>
      <c r="L234" s="87"/>
      <c r="M234" s="87"/>
      <c r="N234" s="87"/>
      <c r="O234" s="87"/>
      <c r="P234" s="87"/>
      <c r="Q234" s="87"/>
      <c r="R234" s="87"/>
      <c r="S234" s="87"/>
      <c r="T234" s="87"/>
      <c r="U234" s="87"/>
      <c r="V234" s="87"/>
      <c r="W234" s="87"/>
      <c r="X234" s="87"/>
      <c r="Y234" s="87"/>
      <c r="Z234" s="87"/>
      <c r="AA234" s="87"/>
      <c r="AB234" s="87"/>
      <c r="AC234" s="87"/>
      <c r="AD234" s="87"/>
      <c r="AE234" s="87"/>
      <c r="AF234" s="87"/>
      <c r="AG234" s="87"/>
      <c r="AH234" s="87"/>
      <c r="AI234" s="87"/>
      <c r="AJ234" s="87"/>
      <c r="AK234" s="87"/>
      <c r="AL234" s="87"/>
      <c r="AM234" s="87"/>
      <c r="AN234" s="87"/>
      <c r="AO234" s="87"/>
      <c r="AP234" s="87"/>
      <c r="AQ234" s="87"/>
      <c r="AR234" s="87"/>
      <c r="AS234" s="87"/>
    </row>
    <row r="235" spans="1:45">
      <c r="A235" s="87"/>
      <c r="B235" s="87"/>
      <c r="C235" s="87"/>
      <c r="D235" s="87"/>
      <c r="E235" s="87"/>
      <c r="F235" s="87"/>
      <c r="G235" s="87"/>
      <c r="H235" s="87"/>
      <c r="I235" s="87"/>
      <c r="J235" s="87"/>
      <c r="K235" s="87"/>
      <c r="L235" s="87"/>
      <c r="M235" s="87"/>
      <c r="N235" s="87"/>
      <c r="O235" s="87"/>
      <c r="P235" s="87"/>
      <c r="Q235" s="87"/>
      <c r="R235" s="87"/>
      <c r="S235" s="87"/>
      <c r="T235" s="87"/>
      <c r="U235" s="87"/>
      <c r="V235" s="87"/>
      <c r="W235" s="87"/>
      <c r="X235" s="87"/>
      <c r="Y235" s="87"/>
      <c r="Z235" s="87"/>
      <c r="AA235" s="87"/>
      <c r="AB235" s="87"/>
      <c r="AC235" s="87"/>
      <c r="AD235" s="87"/>
      <c r="AE235" s="87"/>
      <c r="AF235" s="87"/>
      <c r="AG235" s="87"/>
      <c r="AH235" s="87"/>
      <c r="AI235" s="87"/>
      <c r="AJ235" s="87"/>
      <c r="AK235" s="87"/>
      <c r="AL235" s="87"/>
      <c r="AM235" s="87"/>
      <c r="AN235" s="87"/>
      <c r="AO235" s="87"/>
      <c r="AP235" s="87"/>
      <c r="AQ235" s="87"/>
      <c r="AR235" s="87"/>
      <c r="AS235" s="87"/>
    </row>
    <row r="236" spans="1:45">
      <c r="A236" s="87"/>
      <c r="B236" s="87"/>
      <c r="C236" s="87"/>
      <c r="D236" s="87"/>
      <c r="E236" s="87"/>
      <c r="F236" s="87"/>
      <c r="G236" s="87"/>
      <c r="H236" s="87"/>
      <c r="I236" s="87"/>
      <c r="J236" s="87"/>
      <c r="K236" s="87"/>
      <c r="L236" s="87"/>
      <c r="M236" s="87"/>
      <c r="N236" s="87"/>
      <c r="O236" s="87"/>
      <c r="P236" s="87"/>
      <c r="Q236" s="87"/>
      <c r="R236" s="87"/>
      <c r="S236" s="87"/>
      <c r="T236" s="87"/>
      <c r="U236" s="87"/>
      <c r="V236" s="87"/>
      <c r="W236" s="87"/>
      <c r="X236" s="87"/>
      <c r="Y236" s="87"/>
      <c r="Z236" s="87"/>
      <c r="AA236" s="87"/>
      <c r="AB236" s="87"/>
      <c r="AC236" s="87"/>
      <c r="AD236" s="87"/>
      <c r="AE236" s="87"/>
      <c r="AF236" s="87"/>
      <c r="AG236" s="87"/>
      <c r="AH236" s="87"/>
      <c r="AI236" s="87"/>
      <c r="AJ236" s="87"/>
      <c r="AK236" s="87"/>
      <c r="AL236" s="87"/>
      <c r="AM236" s="87"/>
      <c r="AN236" s="87"/>
      <c r="AO236" s="87"/>
      <c r="AP236" s="87"/>
      <c r="AQ236" s="87"/>
      <c r="AR236" s="87"/>
      <c r="AS236" s="87"/>
    </row>
    <row r="237" spans="1:45">
      <c r="A237" s="87"/>
      <c r="B237" s="87"/>
      <c r="C237" s="87"/>
      <c r="D237" s="87"/>
      <c r="E237" s="87"/>
      <c r="F237" s="87"/>
      <c r="G237" s="87"/>
      <c r="H237" s="87"/>
      <c r="I237" s="87"/>
      <c r="J237" s="87"/>
      <c r="K237" s="87"/>
      <c r="L237" s="87"/>
      <c r="M237" s="87"/>
      <c r="N237" s="87"/>
      <c r="O237" s="87"/>
      <c r="P237" s="87"/>
      <c r="Q237" s="87"/>
      <c r="R237" s="87"/>
      <c r="S237" s="87"/>
      <c r="T237" s="87"/>
      <c r="U237" s="87"/>
      <c r="V237" s="87"/>
      <c r="W237" s="87"/>
      <c r="X237" s="87"/>
      <c r="Y237" s="87"/>
      <c r="Z237" s="87"/>
      <c r="AA237" s="87"/>
      <c r="AB237" s="87"/>
      <c r="AC237" s="87"/>
      <c r="AD237" s="87"/>
      <c r="AE237" s="87"/>
      <c r="AF237" s="87"/>
      <c r="AG237" s="87"/>
      <c r="AH237" s="87"/>
      <c r="AI237" s="87"/>
      <c r="AJ237" s="87"/>
      <c r="AK237" s="87"/>
      <c r="AL237" s="87"/>
      <c r="AM237" s="87"/>
      <c r="AN237" s="87"/>
      <c r="AO237" s="87"/>
      <c r="AP237" s="87"/>
      <c r="AQ237" s="87"/>
      <c r="AR237" s="87"/>
      <c r="AS237" s="87"/>
    </row>
    <row r="238" spans="1:45">
      <c r="A238" s="87"/>
      <c r="B238" s="87"/>
      <c r="C238" s="87"/>
      <c r="D238" s="87"/>
      <c r="E238" s="87"/>
      <c r="F238" s="87"/>
      <c r="G238" s="87"/>
      <c r="H238" s="87"/>
      <c r="I238" s="87"/>
      <c r="J238" s="87"/>
      <c r="K238" s="87"/>
      <c r="L238" s="87"/>
      <c r="M238" s="87"/>
      <c r="N238" s="87"/>
      <c r="O238" s="87"/>
      <c r="P238" s="87"/>
      <c r="Q238" s="87"/>
      <c r="R238" s="87"/>
      <c r="S238" s="87"/>
      <c r="T238" s="87"/>
      <c r="U238" s="87"/>
      <c r="V238" s="87"/>
      <c r="W238" s="87"/>
      <c r="X238" s="87"/>
      <c r="Y238" s="87"/>
      <c r="Z238" s="87"/>
      <c r="AA238" s="87"/>
      <c r="AB238" s="87"/>
      <c r="AC238" s="87"/>
      <c r="AD238" s="87"/>
      <c r="AE238" s="87"/>
      <c r="AF238" s="87"/>
      <c r="AG238" s="87"/>
      <c r="AH238" s="87"/>
      <c r="AI238" s="87"/>
      <c r="AJ238" s="87"/>
      <c r="AK238" s="87"/>
      <c r="AL238" s="87"/>
      <c r="AM238" s="87"/>
      <c r="AN238" s="87"/>
      <c r="AO238" s="87"/>
      <c r="AP238" s="87"/>
      <c r="AQ238" s="87"/>
      <c r="AR238" s="87"/>
      <c r="AS238" s="87"/>
    </row>
    <row r="239" spans="1:45">
      <c r="A239" s="87"/>
      <c r="B239" s="87"/>
      <c r="C239" s="87"/>
      <c r="D239" s="87"/>
      <c r="E239" s="87"/>
      <c r="F239" s="87"/>
      <c r="G239" s="87"/>
      <c r="H239" s="87"/>
      <c r="I239" s="87"/>
      <c r="J239" s="87"/>
      <c r="K239" s="87"/>
      <c r="L239" s="87"/>
      <c r="M239" s="87"/>
      <c r="N239" s="87"/>
      <c r="O239" s="87"/>
      <c r="P239" s="87"/>
      <c r="Q239" s="87"/>
      <c r="R239" s="87"/>
      <c r="S239" s="87"/>
      <c r="T239" s="87"/>
      <c r="U239" s="87"/>
      <c r="V239" s="87"/>
      <c r="W239" s="87"/>
      <c r="X239" s="87"/>
      <c r="Y239" s="87"/>
      <c r="Z239" s="87"/>
      <c r="AA239" s="87"/>
      <c r="AB239" s="87"/>
      <c r="AC239" s="87"/>
      <c r="AD239" s="87"/>
      <c r="AE239" s="87"/>
      <c r="AF239" s="87"/>
      <c r="AG239" s="87"/>
      <c r="AH239" s="87"/>
      <c r="AI239" s="87"/>
      <c r="AJ239" s="87"/>
      <c r="AK239" s="87"/>
      <c r="AL239" s="87"/>
      <c r="AM239" s="87"/>
      <c r="AN239" s="87"/>
      <c r="AO239" s="87"/>
      <c r="AP239" s="87"/>
      <c r="AQ239" s="87"/>
      <c r="AR239" s="87"/>
      <c r="AS239" s="87"/>
    </row>
    <row r="240" spans="1:45">
      <c r="A240" s="87"/>
      <c r="B240" s="87"/>
      <c r="C240" s="87"/>
      <c r="D240" s="87"/>
      <c r="E240" s="87"/>
      <c r="F240" s="87"/>
      <c r="G240" s="87"/>
      <c r="H240" s="87"/>
      <c r="I240" s="87"/>
      <c r="J240" s="87"/>
      <c r="K240" s="87"/>
      <c r="L240" s="87"/>
      <c r="M240" s="87"/>
      <c r="N240" s="87"/>
      <c r="O240" s="87"/>
      <c r="P240" s="87"/>
      <c r="Q240" s="87"/>
      <c r="R240" s="87"/>
      <c r="S240" s="87"/>
      <c r="T240" s="87"/>
      <c r="U240" s="87"/>
      <c r="V240" s="87"/>
      <c r="W240" s="87"/>
      <c r="X240" s="87"/>
      <c r="Y240" s="87"/>
      <c r="Z240" s="87"/>
      <c r="AA240" s="87"/>
      <c r="AB240" s="87"/>
      <c r="AC240" s="87"/>
      <c r="AD240" s="87"/>
      <c r="AE240" s="87"/>
      <c r="AF240" s="87"/>
      <c r="AG240" s="87"/>
      <c r="AH240" s="87"/>
      <c r="AI240" s="87"/>
      <c r="AJ240" s="87"/>
      <c r="AK240" s="87"/>
      <c r="AL240" s="87"/>
      <c r="AM240" s="87"/>
      <c r="AN240" s="87"/>
      <c r="AO240" s="87"/>
      <c r="AP240" s="87"/>
      <c r="AQ240" s="87"/>
      <c r="AR240" s="87"/>
      <c r="AS240" s="87"/>
    </row>
    <row r="241" spans="1:45">
      <c r="A241" s="87"/>
      <c r="B241" s="87"/>
      <c r="C241" s="87"/>
      <c r="D241" s="87"/>
      <c r="E241" s="87"/>
      <c r="F241" s="87"/>
      <c r="G241" s="87"/>
      <c r="H241" s="87"/>
      <c r="I241" s="87"/>
      <c r="J241" s="87"/>
      <c r="K241" s="87"/>
      <c r="L241" s="87"/>
      <c r="M241" s="87"/>
      <c r="N241" s="87"/>
      <c r="O241" s="87"/>
      <c r="P241" s="87"/>
      <c r="Q241" s="87"/>
      <c r="R241" s="87"/>
      <c r="S241" s="87"/>
      <c r="T241" s="87"/>
      <c r="U241" s="87"/>
      <c r="V241" s="87"/>
      <c r="W241" s="87"/>
      <c r="X241" s="87"/>
      <c r="Y241" s="87"/>
      <c r="Z241" s="87"/>
      <c r="AA241" s="87"/>
      <c r="AB241" s="87"/>
      <c r="AC241" s="87"/>
      <c r="AD241" s="87"/>
      <c r="AE241" s="87"/>
      <c r="AF241" s="87"/>
      <c r="AG241" s="87"/>
      <c r="AH241" s="87"/>
      <c r="AI241" s="87"/>
      <c r="AJ241" s="87"/>
      <c r="AK241" s="87"/>
      <c r="AL241" s="87"/>
      <c r="AM241" s="87"/>
      <c r="AN241" s="87"/>
      <c r="AO241" s="87"/>
      <c r="AP241" s="87"/>
      <c r="AQ241" s="87"/>
      <c r="AR241" s="87"/>
      <c r="AS241" s="87"/>
    </row>
    <row r="242" spans="1:45">
      <c r="A242" s="87"/>
      <c r="B242" s="87"/>
      <c r="C242" s="87"/>
      <c r="D242" s="87"/>
      <c r="E242" s="87"/>
      <c r="F242" s="87"/>
      <c r="G242" s="87"/>
      <c r="H242" s="87"/>
      <c r="I242" s="87"/>
      <c r="J242" s="87"/>
      <c r="K242" s="87"/>
      <c r="L242" s="87"/>
      <c r="M242" s="87"/>
      <c r="N242" s="87"/>
      <c r="O242" s="87"/>
      <c r="P242" s="87"/>
      <c r="Q242" s="87"/>
      <c r="R242" s="87"/>
      <c r="S242" s="87"/>
      <c r="T242" s="87"/>
      <c r="U242" s="87"/>
      <c r="V242" s="87"/>
      <c r="W242" s="87"/>
      <c r="X242" s="87"/>
      <c r="Y242" s="87"/>
      <c r="Z242" s="87"/>
      <c r="AA242" s="87"/>
      <c r="AB242" s="87"/>
      <c r="AC242" s="87"/>
      <c r="AD242" s="87"/>
      <c r="AE242" s="87"/>
      <c r="AF242" s="87"/>
      <c r="AG242" s="87"/>
      <c r="AH242" s="87"/>
      <c r="AI242" s="87"/>
      <c r="AJ242" s="87"/>
      <c r="AK242" s="87"/>
      <c r="AL242" s="87"/>
      <c r="AM242" s="87"/>
      <c r="AN242" s="87"/>
      <c r="AO242" s="87"/>
      <c r="AP242" s="87"/>
      <c r="AQ242" s="87"/>
      <c r="AR242" s="87"/>
      <c r="AS242" s="87"/>
    </row>
    <row r="243" spans="1:45">
      <c r="A243" s="87"/>
      <c r="B243" s="87"/>
      <c r="C243" s="87"/>
      <c r="D243" s="87"/>
      <c r="E243" s="87"/>
      <c r="F243" s="87"/>
      <c r="G243" s="87"/>
      <c r="H243" s="87"/>
      <c r="I243" s="87"/>
      <c r="J243" s="87"/>
      <c r="K243" s="87"/>
      <c r="L243" s="87"/>
      <c r="M243" s="87"/>
      <c r="N243" s="87"/>
      <c r="O243" s="87"/>
      <c r="P243" s="87"/>
      <c r="Q243" s="87"/>
      <c r="R243" s="87"/>
      <c r="S243" s="87"/>
      <c r="T243" s="87"/>
      <c r="U243" s="87"/>
      <c r="V243" s="87"/>
      <c r="W243" s="87"/>
      <c r="X243" s="87"/>
      <c r="Y243" s="87"/>
      <c r="Z243" s="87"/>
      <c r="AA243" s="87"/>
      <c r="AB243" s="87"/>
      <c r="AC243" s="87"/>
      <c r="AD243" s="87"/>
      <c r="AE243" s="87"/>
      <c r="AF243" s="87"/>
      <c r="AG243" s="87"/>
      <c r="AH243" s="87"/>
      <c r="AI243" s="87"/>
      <c r="AJ243" s="87"/>
      <c r="AK243" s="87"/>
      <c r="AL243" s="87"/>
      <c r="AM243" s="87"/>
      <c r="AN243" s="87"/>
      <c r="AO243" s="87"/>
      <c r="AP243" s="87"/>
      <c r="AQ243" s="87"/>
      <c r="AR243" s="87"/>
      <c r="AS243" s="87"/>
    </row>
    <row r="244" spans="1:45">
      <c r="A244" s="87"/>
      <c r="B244" s="87"/>
      <c r="C244" s="87"/>
      <c r="D244" s="87"/>
      <c r="E244" s="87"/>
      <c r="F244" s="87"/>
      <c r="G244" s="87"/>
      <c r="H244" s="87"/>
      <c r="I244" s="87"/>
      <c r="J244" s="87"/>
      <c r="K244" s="87"/>
      <c r="L244" s="87"/>
      <c r="M244" s="87"/>
      <c r="N244" s="87"/>
      <c r="O244" s="87"/>
      <c r="P244" s="87"/>
      <c r="Q244" s="87"/>
      <c r="R244" s="87"/>
      <c r="S244" s="87"/>
      <c r="T244" s="87"/>
      <c r="U244" s="87"/>
      <c r="V244" s="87"/>
      <c r="W244" s="87"/>
      <c r="X244" s="87"/>
      <c r="Y244" s="87"/>
      <c r="Z244" s="87"/>
      <c r="AA244" s="87"/>
      <c r="AB244" s="87"/>
      <c r="AC244" s="87"/>
      <c r="AD244" s="87"/>
      <c r="AE244" s="87"/>
      <c r="AF244" s="87"/>
      <c r="AG244" s="87"/>
      <c r="AH244" s="87"/>
      <c r="AI244" s="87"/>
      <c r="AJ244" s="87"/>
      <c r="AK244" s="87"/>
      <c r="AL244" s="87"/>
      <c r="AM244" s="87"/>
      <c r="AN244" s="87"/>
      <c r="AO244" s="87"/>
      <c r="AP244" s="87"/>
      <c r="AQ244" s="87"/>
      <c r="AR244" s="87"/>
      <c r="AS244" s="87"/>
    </row>
    <row r="245" spans="1:45">
      <c r="A245" s="87"/>
      <c r="B245" s="87"/>
      <c r="C245" s="87"/>
      <c r="D245" s="87"/>
      <c r="E245" s="87"/>
      <c r="F245" s="87"/>
      <c r="G245" s="87"/>
      <c r="H245" s="87"/>
      <c r="I245" s="87"/>
      <c r="J245" s="87"/>
      <c r="K245" s="87"/>
      <c r="L245" s="87"/>
      <c r="M245" s="87"/>
      <c r="N245" s="87"/>
      <c r="O245" s="87"/>
      <c r="P245" s="87"/>
      <c r="Q245" s="87"/>
      <c r="R245" s="87"/>
      <c r="S245" s="87"/>
      <c r="T245" s="87"/>
      <c r="U245" s="87"/>
      <c r="V245" s="87"/>
      <c r="W245" s="87"/>
      <c r="X245" s="87"/>
      <c r="Y245" s="87"/>
      <c r="Z245" s="87"/>
      <c r="AA245" s="87"/>
      <c r="AB245" s="87"/>
      <c r="AC245" s="87"/>
      <c r="AD245" s="87"/>
      <c r="AE245" s="87"/>
      <c r="AF245" s="87"/>
      <c r="AG245" s="87"/>
      <c r="AH245" s="87"/>
      <c r="AI245" s="87"/>
      <c r="AJ245" s="87"/>
      <c r="AK245" s="87"/>
      <c r="AL245" s="87"/>
      <c r="AM245" s="87"/>
      <c r="AN245" s="87"/>
      <c r="AO245" s="87"/>
      <c r="AP245" s="87"/>
      <c r="AQ245" s="87"/>
      <c r="AR245" s="87"/>
      <c r="AS245" s="87"/>
    </row>
    <row r="246" spans="1:45">
      <c r="A246" s="87"/>
      <c r="B246" s="87"/>
      <c r="C246" s="87"/>
      <c r="D246" s="87"/>
      <c r="E246" s="87"/>
      <c r="F246" s="87"/>
      <c r="G246" s="87"/>
      <c r="H246" s="87"/>
      <c r="I246" s="87"/>
      <c r="J246" s="87"/>
      <c r="K246" s="87"/>
      <c r="L246" s="87"/>
      <c r="M246" s="87"/>
      <c r="N246" s="87"/>
      <c r="O246" s="87"/>
      <c r="P246" s="87"/>
      <c r="Q246" s="87"/>
      <c r="R246" s="87"/>
      <c r="S246" s="87"/>
      <c r="T246" s="87"/>
      <c r="U246" s="87"/>
      <c r="V246" s="87"/>
      <c r="W246" s="87"/>
      <c r="X246" s="87"/>
      <c r="Y246" s="87"/>
      <c r="Z246" s="87"/>
      <c r="AA246" s="87"/>
      <c r="AB246" s="87"/>
      <c r="AC246" s="87"/>
      <c r="AD246" s="87"/>
      <c r="AE246" s="87"/>
      <c r="AF246" s="87"/>
      <c r="AG246" s="87"/>
      <c r="AH246" s="87"/>
      <c r="AI246" s="87"/>
      <c r="AJ246" s="87"/>
      <c r="AK246" s="87"/>
      <c r="AL246" s="87"/>
      <c r="AM246" s="87"/>
      <c r="AN246" s="87"/>
      <c r="AO246" s="87"/>
      <c r="AP246" s="87"/>
      <c r="AQ246" s="87"/>
      <c r="AR246" s="87"/>
      <c r="AS246" s="87"/>
    </row>
    <row r="247" spans="1:45">
      <c r="A247" s="87"/>
      <c r="B247" s="87"/>
      <c r="C247" s="87"/>
      <c r="D247" s="87"/>
      <c r="E247" s="87"/>
      <c r="F247" s="87"/>
      <c r="G247" s="87"/>
      <c r="H247" s="87"/>
      <c r="I247" s="87"/>
      <c r="J247" s="87"/>
      <c r="K247" s="87"/>
      <c r="L247" s="87"/>
      <c r="M247" s="87"/>
      <c r="N247" s="87"/>
      <c r="O247" s="87"/>
      <c r="P247" s="87"/>
      <c r="Q247" s="87"/>
      <c r="R247" s="87"/>
      <c r="S247" s="87"/>
      <c r="T247" s="87"/>
      <c r="U247" s="87"/>
      <c r="V247" s="87"/>
      <c r="W247" s="87"/>
      <c r="X247" s="87"/>
      <c r="Y247" s="87"/>
      <c r="Z247" s="87"/>
      <c r="AA247" s="87"/>
      <c r="AB247" s="87"/>
      <c r="AC247" s="87"/>
      <c r="AD247" s="87"/>
      <c r="AE247" s="87"/>
      <c r="AF247" s="87"/>
      <c r="AG247" s="87"/>
      <c r="AH247" s="87"/>
      <c r="AI247" s="87"/>
      <c r="AJ247" s="87"/>
      <c r="AK247" s="87"/>
      <c r="AL247" s="87"/>
      <c r="AM247" s="87"/>
      <c r="AN247" s="87"/>
      <c r="AO247" s="87"/>
      <c r="AP247" s="87"/>
      <c r="AQ247" s="87"/>
      <c r="AR247" s="87"/>
      <c r="AS247" s="87"/>
    </row>
    <row r="248" spans="1:45">
      <c r="A248" s="87"/>
      <c r="B248" s="87"/>
      <c r="C248" s="87"/>
      <c r="D248" s="87"/>
      <c r="E248" s="87"/>
      <c r="F248" s="87"/>
      <c r="G248" s="87"/>
      <c r="H248" s="87"/>
      <c r="I248" s="87"/>
      <c r="J248" s="87"/>
      <c r="K248" s="87"/>
      <c r="L248" s="87"/>
      <c r="M248" s="87"/>
      <c r="N248" s="87"/>
      <c r="O248" s="87"/>
      <c r="P248" s="87"/>
      <c r="Q248" s="87"/>
      <c r="R248" s="87"/>
      <c r="S248" s="87"/>
      <c r="T248" s="87"/>
      <c r="U248" s="87"/>
      <c r="V248" s="87"/>
      <c r="W248" s="87"/>
      <c r="X248" s="87"/>
      <c r="Y248" s="87"/>
      <c r="Z248" s="87"/>
      <c r="AA248" s="87"/>
      <c r="AB248" s="87"/>
      <c r="AC248" s="87"/>
      <c r="AD248" s="87"/>
      <c r="AE248" s="87"/>
      <c r="AF248" s="87"/>
      <c r="AG248" s="87"/>
      <c r="AH248" s="87"/>
      <c r="AI248" s="87"/>
      <c r="AJ248" s="87"/>
      <c r="AK248" s="87"/>
      <c r="AL248" s="87"/>
      <c r="AM248" s="87"/>
      <c r="AN248" s="87"/>
      <c r="AO248" s="87"/>
      <c r="AP248" s="87"/>
      <c r="AQ248" s="87"/>
      <c r="AR248" s="87"/>
      <c r="AS248" s="87"/>
    </row>
    <row r="249" spans="1:45">
      <c r="A249" s="87"/>
      <c r="B249" s="87"/>
      <c r="C249" s="87"/>
      <c r="D249" s="87"/>
      <c r="E249" s="87"/>
      <c r="F249" s="87"/>
      <c r="G249" s="87"/>
      <c r="H249" s="87"/>
      <c r="I249" s="87"/>
      <c r="J249" s="87"/>
      <c r="K249" s="87"/>
      <c r="L249" s="87"/>
      <c r="M249" s="87"/>
      <c r="N249" s="87"/>
      <c r="O249" s="87"/>
      <c r="P249" s="87"/>
      <c r="Q249" s="87"/>
      <c r="R249" s="87"/>
      <c r="S249" s="87"/>
      <c r="T249" s="87"/>
      <c r="U249" s="87"/>
      <c r="V249" s="87"/>
      <c r="W249" s="87"/>
      <c r="X249" s="87"/>
      <c r="Y249" s="87"/>
      <c r="Z249" s="87"/>
      <c r="AA249" s="87"/>
      <c r="AB249" s="87"/>
      <c r="AC249" s="87"/>
      <c r="AD249" s="87"/>
      <c r="AE249" s="87"/>
      <c r="AF249" s="87"/>
      <c r="AG249" s="87"/>
      <c r="AH249" s="87"/>
      <c r="AI249" s="87"/>
      <c r="AJ249" s="87"/>
      <c r="AK249" s="87"/>
      <c r="AL249" s="87"/>
      <c r="AM249" s="87"/>
      <c r="AN249" s="87"/>
      <c r="AO249" s="87"/>
      <c r="AP249" s="87"/>
      <c r="AQ249" s="87"/>
      <c r="AR249" s="87"/>
      <c r="AS249" s="87"/>
    </row>
    <row r="250" spans="1:45">
      <c r="A250" s="87"/>
      <c r="B250" s="87"/>
      <c r="C250" s="87"/>
      <c r="D250" s="87"/>
      <c r="E250" s="87"/>
      <c r="F250" s="87"/>
      <c r="G250" s="87"/>
      <c r="H250" s="87"/>
      <c r="I250" s="87"/>
      <c r="J250" s="87"/>
      <c r="K250" s="87"/>
      <c r="L250" s="87"/>
      <c r="M250" s="87"/>
      <c r="N250" s="87"/>
      <c r="O250" s="87"/>
      <c r="P250" s="87"/>
      <c r="Q250" s="87"/>
      <c r="R250" s="87"/>
      <c r="S250" s="87"/>
      <c r="T250" s="87"/>
      <c r="U250" s="87"/>
      <c r="V250" s="87"/>
      <c r="W250" s="87"/>
      <c r="X250" s="87"/>
      <c r="Y250" s="87"/>
      <c r="Z250" s="87"/>
      <c r="AA250" s="87"/>
      <c r="AB250" s="87"/>
      <c r="AC250" s="87"/>
      <c r="AD250" s="87"/>
      <c r="AE250" s="87"/>
      <c r="AF250" s="87"/>
      <c r="AG250" s="87"/>
      <c r="AH250" s="87"/>
      <c r="AI250" s="87"/>
      <c r="AJ250" s="87"/>
      <c r="AK250" s="87"/>
      <c r="AL250" s="87"/>
      <c r="AM250" s="87"/>
      <c r="AN250" s="87"/>
      <c r="AO250" s="87"/>
      <c r="AP250" s="87"/>
      <c r="AQ250" s="87"/>
      <c r="AR250" s="87"/>
      <c r="AS250" s="87"/>
    </row>
    <row r="251" spans="1:45">
      <c r="A251" s="87"/>
      <c r="B251" s="87"/>
      <c r="C251" s="87"/>
      <c r="D251" s="87"/>
      <c r="E251" s="87"/>
      <c r="F251" s="87"/>
      <c r="G251" s="87"/>
      <c r="H251" s="87"/>
      <c r="I251" s="87"/>
      <c r="J251" s="87"/>
      <c r="K251" s="87"/>
      <c r="L251" s="87"/>
      <c r="M251" s="87"/>
      <c r="N251" s="87"/>
      <c r="O251" s="87"/>
      <c r="P251" s="87"/>
      <c r="Q251" s="87"/>
      <c r="R251" s="87"/>
      <c r="S251" s="87"/>
      <c r="T251" s="87"/>
      <c r="U251" s="87"/>
      <c r="V251" s="87"/>
      <c r="W251" s="87"/>
      <c r="X251" s="87"/>
      <c r="Y251" s="87"/>
      <c r="Z251" s="87"/>
      <c r="AA251" s="87"/>
      <c r="AB251" s="87"/>
      <c r="AC251" s="87"/>
      <c r="AD251" s="87"/>
      <c r="AE251" s="87"/>
      <c r="AF251" s="87"/>
      <c r="AG251" s="87"/>
      <c r="AH251" s="87"/>
      <c r="AI251" s="87"/>
      <c r="AJ251" s="87"/>
      <c r="AK251" s="87"/>
      <c r="AL251" s="87"/>
      <c r="AM251" s="87"/>
      <c r="AN251" s="87"/>
      <c r="AO251" s="87"/>
      <c r="AP251" s="87"/>
      <c r="AQ251" s="87"/>
      <c r="AR251" s="87"/>
      <c r="AS251" s="87"/>
    </row>
    <row r="252" spans="1:45">
      <c r="A252" s="87"/>
      <c r="B252" s="87"/>
      <c r="C252" s="87"/>
      <c r="D252" s="87"/>
      <c r="E252" s="87"/>
      <c r="F252" s="87"/>
      <c r="G252" s="87"/>
      <c r="H252" s="87"/>
      <c r="I252" s="87"/>
      <c r="J252" s="87"/>
      <c r="K252" s="87"/>
      <c r="L252" s="87"/>
      <c r="M252" s="87"/>
      <c r="N252" s="87"/>
      <c r="O252" s="87"/>
      <c r="P252" s="87"/>
      <c r="Q252" s="87"/>
      <c r="R252" s="87"/>
      <c r="S252" s="87"/>
      <c r="T252" s="87"/>
      <c r="U252" s="87"/>
      <c r="V252" s="87"/>
      <c r="W252" s="87"/>
      <c r="X252" s="87"/>
      <c r="Y252" s="87"/>
      <c r="Z252" s="87"/>
      <c r="AA252" s="87"/>
      <c r="AB252" s="87"/>
      <c r="AC252" s="87"/>
      <c r="AD252" s="87"/>
      <c r="AE252" s="87"/>
      <c r="AF252" s="87"/>
      <c r="AG252" s="87"/>
      <c r="AH252" s="87"/>
      <c r="AI252" s="87"/>
      <c r="AJ252" s="87"/>
      <c r="AK252" s="87"/>
      <c r="AL252" s="87"/>
      <c r="AM252" s="87"/>
      <c r="AN252" s="87"/>
      <c r="AO252" s="87"/>
      <c r="AP252" s="87"/>
      <c r="AQ252" s="87"/>
      <c r="AR252" s="87"/>
      <c r="AS252" s="87"/>
    </row>
    <row r="253" spans="1:45">
      <c r="A253" s="87"/>
      <c r="B253" s="87"/>
      <c r="C253" s="87"/>
      <c r="D253" s="87"/>
      <c r="E253" s="87"/>
      <c r="F253" s="87"/>
      <c r="G253" s="87"/>
      <c r="H253" s="87"/>
      <c r="I253" s="87"/>
      <c r="J253" s="87"/>
      <c r="K253" s="87"/>
      <c r="L253" s="87"/>
      <c r="M253" s="87"/>
      <c r="N253" s="87"/>
      <c r="O253" s="87"/>
      <c r="P253" s="87"/>
      <c r="Q253" s="87"/>
      <c r="R253" s="87"/>
      <c r="S253" s="87"/>
      <c r="T253" s="87"/>
      <c r="U253" s="87"/>
      <c r="V253" s="87"/>
      <c r="W253" s="87"/>
      <c r="X253" s="87"/>
      <c r="Y253" s="87"/>
      <c r="Z253" s="87"/>
      <c r="AA253" s="87"/>
      <c r="AB253" s="87"/>
      <c r="AC253" s="87"/>
      <c r="AD253" s="87"/>
      <c r="AE253" s="87"/>
      <c r="AF253" s="87"/>
      <c r="AG253" s="87"/>
      <c r="AH253" s="87"/>
      <c r="AI253" s="87"/>
      <c r="AJ253" s="87"/>
      <c r="AK253" s="87"/>
      <c r="AL253" s="87"/>
      <c r="AM253" s="87"/>
      <c r="AN253" s="87"/>
      <c r="AO253" s="87"/>
      <c r="AP253" s="87"/>
      <c r="AQ253" s="87"/>
      <c r="AR253" s="87"/>
      <c r="AS253" s="87"/>
    </row>
    <row r="254" spans="1:45">
      <c r="A254" s="87"/>
      <c r="B254" s="87"/>
      <c r="C254" s="87"/>
      <c r="D254" s="87"/>
      <c r="E254" s="87"/>
      <c r="F254" s="87"/>
      <c r="G254" s="87"/>
      <c r="H254" s="87"/>
      <c r="I254" s="87"/>
      <c r="J254" s="87"/>
      <c r="K254" s="87"/>
      <c r="L254" s="87"/>
      <c r="M254" s="87"/>
      <c r="N254" s="87"/>
      <c r="O254" s="87"/>
      <c r="P254" s="87"/>
      <c r="Q254" s="87"/>
      <c r="R254" s="87"/>
      <c r="S254" s="87"/>
      <c r="T254" s="87"/>
      <c r="U254" s="87"/>
      <c r="V254" s="87"/>
      <c r="W254" s="87"/>
      <c r="X254" s="87"/>
      <c r="Y254" s="87"/>
      <c r="Z254" s="87"/>
      <c r="AA254" s="87"/>
      <c r="AB254" s="87"/>
      <c r="AC254" s="87"/>
      <c r="AD254" s="87"/>
      <c r="AE254" s="87"/>
      <c r="AF254" s="87"/>
      <c r="AG254" s="87"/>
      <c r="AH254" s="87"/>
      <c r="AI254" s="87"/>
      <c r="AJ254" s="87"/>
      <c r="AK254" s="87"/>
      <c r="AL254" s="87"/>
      <c r="AM254" s="87"/>
      <c r="AN254" s="87"/>
      <c r="AO254" s="87"/>
      <c r="AP254" s="87"/>
      <c r="AQ254" s="87"/>
      <c r="AR254" s="87"/>
      <c r="AS254" s="87"/>
    </row>
    <row r="255" spans="1:45">
      <c r="A255" s="87"/>
      <c r="B255" s="87"/>
      <c r="C255" s="87"/>
      <c r="D255" s="87"/>
      <c r="E255" s="87"/>
      <c r="F255" s="87"/>
      <c r="G255" s="87"/>
      <c r="H255" s="87"/>
      <c r="I255" s="87"/>
      <c r="J255" s="87"/>
      <c r="K255" s="87"/>
      <c r="L255" s="87"/>
      <c r="M255" s="87"/>
      <c r="N255" s="87"/>
      <c r="O255" s="87"/>
      <c r="P255" s="87"/>
      <c r="Q255" s="87"/>
      <c r="R255" s="87"/>
      <c r="S255" s="87"/>
      <c r="T255" s="87"/>
      <c r="U255" s="87"/>
      <c r="V255" s="87"/>
      <c r="W255" s="87"/>
      <c r="X255" s="87"/>
      <c r="Y255" s="87"/>
      <c r="Z255" s="87"/>
      <c r="AA255" s="87"/>
      <c r="AB255" s="87"/>
      <c r="AC255" s="87"/>
      <c r="AD255" s="87"/>
      <c r="AE255" s="87"/>
      <c r="AF255" s="87"/>
      <c r="AG255" s="87"/>
      <c r="AH255" s="87"/>
      <c r="AI255" s="87"/>
      <c r="AJ255" s="87"/>
      <c r="AK255" s="87"/>
      <c r="AL255" s="87"/>
      <c r="AM255" s="87"/>
      <c r="AN255" s="87"/>
      <c r="AO255" s="87"/>
      <c r="AP255" s="87"/>
      <c r="AQ255" s="87"/>
      <c r="AR255" s="87"/>
      <c r="AS255" s="87"/>
    </row>
    <row r="256" spans="1:45">
      <c r="A256" s="87"/>
      <c r="B256" s="87"/>
      <c r="C256" s="87"/>
      <c r="D256" s="87"/>
      <c r="E256" s="87"/>
      <c r="F256" s="87"/>
      <c r="G256" s="87"/>
      <c r="H256" s="87"/>
      <c r="I256" s="87"/>
      <c r="J256" s="87"/>
      <c r="K256" s="87"/>
      <c r="L256" s="87"/>
      <c r="M256" s="87"/>
      <c r="N256" s="87"/>
      <c r="O256" s="87"/>
      <c r="P256" s="87"/>
      <c r="Q256" s="87"/>
      <c r="R256" s="87"/>
      <c r="S256" s="87"/>
      <c r="T256" s="87"/>
      <c r="U256" s="87"/>
      <c r="V256" s="87"/>
      <c r="W256" s="87"/>
      <c r="X256" s="87"/>
      <c r="Y256" s="87"/>
      <c r="Z256" s="87"/>
      <c r="AA256" s="87"/>
      <c r="AB256" s="87"/>
      <c r="AC256" s="87"/>
      <c r="AD256" s="87"/>
      <c r="AE256" s="87"/>
      <c r="AF256" s="87"/>
      <c r="AG256" s="87"/>
      <c r="AH256" s="87"/>
      <c r="AI256" s="87"/>
      <c r="AJ256" s="87"/>
      <c r="AK256" s="87"/>
      <c r="AL256" s="87"/>
      <c r="AM256" s="87"/>
      <c r="AN256" s="87"/>
      <c r="AO256" s="87"/>
      <c r="AP256" s="87"/>
      <c r="AQ256" s="87"/>
      <c r="AR256" s="87"/>
      <c r="AS256" s="87"/>
    </row>
    <row r="257" spans="1:45">
      <c r="A257" s="87"/>
      <c r="B257" s="87"/>
      <c r="C257" s="87"/>
      <c r="D257" s="87"/>
      <c r="E257" s="87"/>
      <c r="F257" s="87"/>
      <c r="G257" s="87"/>
      <c r="H257" s="87"/>
      <c r="I257" s="87"/>
      <c r="J257" s="87"/>
      <c r="K257" s="87"/>
      <c r="L257" s="87"/>
      <c r="M257" s="87"/>
      <c r="N257" s="87"/>
      <c r="O257" s="87"/>
      <c r="P257" s="87"/>
      <c r="Q257" s="87"/>
      <c r="R257" s="87"/>
      <c r="S257" s="87"/>
      <c r="T257" s="87"/>
      <c r="U257" s="87"/>
      <c r="V257" s="87"/>
      <c r="W257" s="87"/>
      <c r="X257" s="87"/>
      <c r="Y257" s="87"/>
      <c r="Z257" s="87"/>
      <c r="AA257" s="87"/>
      <c r="AB257" s="87"/>
      <c r="AC257" s="87"/>
      <c r="AD257" s="87"/>
      <c r="AE257" s="87"/>
      <c r="AF257" s="87"/>
      <c r="AG257" s="87"/>
      <c r="AH257" s="87"/>
      <c r="AI257" s="87"/>
      <c r="AJ257" s="87"/>
      <c r="AK257" s="87"/>
      <c r="AL257" s="87"/>
      <c r="AM257" s="87"/>
      <c r="AN257" s="87"/>
      <c r="AO257" s="87"/>
      <c r="AP257" s="87"/>
      <c r="AQ257" s="87"/>
      <c r="AR257" s="87"/>
      <c r="AS257" s="87"/>
    </row>
    <row r="258" spans="1:45">
      <c r="A258" s="87"/>
      <c r="B258" s="87"/>
      <c r="C258" s="87"/>
      <c r="D258" s="87"/>
      <c r="E258" s="87"/>
      <c r="F258" s="87"/>
      <c r="G258" s="87"/>
      <c r="H258" s="87"/>
      <c r="I258" s="87"/>
      <c r="J258" s="87"/>
      <c r="K258" s="87"/>
      <c r="L258" s="87"/>
      <c r="M258" s="87"/>
      <c r="N258" s="87"/>
      <c r="O258" s="87"/>
      <c r="P258" s="87"/>
      <c r="Q258" s="87"/>
      <c r="R258" s="87"/>
      <c r="S258" s="87"/>
      <c r="T258" s="87"/>
      <c r="U258" s="87"/>
      <c r="V258" s="87"/>
      <c r="W258" s="87"/>
      <c r="X258" s="87"/>
      <c r="Y258" s="87"/>
      <c r="Z258" s="87"/>
      <c r="AA258" s="87"/>
      <c r="AB258" s="87"/>
      <c r="AC258" s="87"/>
      <c r="AD258" s="87"/>
      <c r="AE258" s="87"/>
      <c r="AF258" s="87"/>
      <c r="AG258" s="87"/>
      <c r="AH258" s="87"/>
      <c r="AI258" s="87"/>
      <c r="AJ258" s="87"/>
      <c r="AK258" s="87"/>
      <c r="AL258" s="87"/>
      <c r="AM258" s="87"/>
      <c r="AN258" s="87"/>
      <c r="AO258" s="87"/>
      <c r="AP258" s="87"/>
      <c r="AQ258" s="87"/>
      <c r="AR258" s="87"/>
      <c r="AS258" s="87"/>
    </row>
    <row r="259" spans="1:45">
      <c r="A259" s="87"/>
      <c r="B259" s="87"/>
      <c r="C259" s="87"/>
      <c r="D259" s="87"/>
      <c r="E259" s="87"/>
      <c r="F259" s="87"/>
      <c r="G259" s="87"/>
      <c r="H259" s="87"/>
      <c r="I259" s="87"/>
      <c r="J259" s="87"/>
      <c r="K259" s="87"/>
      <c r="L259" s="87"/>
      <c r="M259" s="87"/>
      <c r="N259" s="87"/>
      <c r="O259" s="87"/>
      <c r="P259" s="87"/>
      <c r="Q259" s="87"/>
      <c r="R259" s="87"/>
      <c r="S259" s="87"/>
      <c r="T259" s="87"/>
      <c r="U259" s="87"/>
      <c r="V259" s="87"/>
      <c r="W259" s="87"/>
      <c r="X259" s="87"/>
      <c r="Y259" s="87"/>
      <c r="Z259" s="87"/>
      <c r="AA259" s="87"/>
      <c r="AB259" s="87"/>
      <c r="AC259" s="87"/>
      <c r="AD259" s="87"/>
      <c r="AE259" s="87"/>
      <c r="AF259" s="87"/>
      <c r="AG259" s="87"/>
      <c r="AH259" s="87"/>
      <c r="AI259" s="87"/>
      <c r="AJ259" s="87"/>
      <c r="AK259" s="87"/>
      <c r="AL259" s="87"/>
      <c r="AM259" s="87"/>
      <c r="AN259" s="87"/>
      <c r="AO259" s="87"/>
      <c r="AP259" s="87"/>
      <c r="AQ259" s="87"/>
      <c r="AR259" s="87"/>
      <c r="AS259" s="87"/>
    </row>
    <row r="260" spans="1:45">
      <c r="A260" s="87"/>
      <c r="B260" s="87"/>
      <c r="C260" s="87"/>
      <c r="D260" s="87"/>
      <c r="E260" s="87"/>
      <c r="F260" s="87"/>
      <c r="G260" s="87"/>
      <c r="H260" s="87"/>
      <c r="I260" s="87"/>
      <c r="J260" s="87"/>
      <c r="K260" s="87"/>
      <c r="L260" s="87"/>
      <c r="M260" s="87"/>
      <c r="N260" s="87"/>
      <c r="O260" s="87"/>
      <c r="P260" s="87"/>
      <c r="Q260" s="87"/>
      <c r="R260" s="87"/>
      <c r="S260" s="87"/>
      <c r="T260" s="87"/>
      <c r="U260" s="87"/>
      <c r="V260" s="87"/>
      <c r="W260" s="87"/>
      <c r="X260" s="87"/>
      <c r="Y260" s="87"/>
      <c r="Z260" s="87"/>
      <c r="AA260" s="87"/>
      <c r="AB260" s="87"/>
      <c r="AC260" s="87"/>
      <c r="AD260" s="87"/>
      <c r="AE260" s="87"/>
      <c r="AF260" s="87"/>
      <c r="AG260" s="87"/>
      <c r="AH260" s="87"/>
      <c r="AI260" s="87"/>
      <c r="AJ260" s="87"/>
      <c r="AK260" s="87"/>
      <c r="AL260" s="87"/>
      <c r="AM260" s="87"/>
      <c r="AN260" s="87"/>
      <c r="AO260" s="87"/>
      <c r="AP260" s="87"/>
      <c r="AQ260" s="87"/>
      <c r="AR260" s="87"/>
      <c r="AS260" s="87"/>
    </row>
    <row r="261" spans="1:45">
      <c r="A261" s="87"/>
      <c r="B261" s="87"/>
      <c r="C261" s="87"/>
      <c r="D261" s="87"/>
      <c r="E261" s="87"/>
      <c r="F261" s="87"/>
      <c r="G261" s="87"/>
      <c r="H261" s="87"/>
      <c r="I261" s="87"/>
      <c r="J261" s="87"/>
      <c r="K261" s="87"/>
      <c r="L261" s="87"/>
      <c r="M261" s="87"/>
      <c r="N261" s="87"/>
      <c r="O261" s="87"/>
      <c r="P261" s="87"/>
      <c r="Q261" s="87"/>
      <c r="R261" s="87"/>
      <c r="S261" s="87"/>
      <c r="T261" s="87"/>
      <c r="U261" s="87"/>
      <c r="V261" s="87"/>
      <c r="W261" s="87"/>
      <c r="X261" s="87"/>
      <c r="Y261" s="87"/>
      <c r="Z261" s="87"/>
      <c r="AA261" s="87"/>
      <c r="AB261" s="87"/>
      <c r="AC261" s="87"/>
      <c r="AD261" s="87"/>
      <c r="AE261" s="87"/>
      <c r="AF261" s="87"/>
      <c r="AG261" s="87"/>
      <c r="AH261" s="87"/>
      <c r="AI261" s="87"/>
      <c r="AJ261" s="87"/>
      <c r="AK261" s="87"/>
      <c r="AL261" s="87"/>
      <c r="AM261" s="87"/>
      <c r="AN261" s="87"/>
      <c r="AO261" s="87"/>
      <c r="AP261" s="87"/>
      <c r="AQ261" s="87"/>
      <c r="AR261" s="87"/>
      <c r="AS261" s="87"/>
    </row>
    <row r="262" spans="1:45">
      <c r="A262" s="87"/>
      <c r="B262" s="87"/>
      <c r="C262" s="87"/>
      <c r="D262" s="87"/>
      <c r="E262" s="87"/>
      <c r="F262" s="87"/>
      <c r="G262" s="87"/>
      <c r="H262" s="87"/>
      <c r="I262" s="87"/>
      <c r="J262" s="87"/>
      <c r="K262" s="87"/>
      <c r="L262" s="87"/>
      <c r="M262" s="87"/>
      <c r="N262" s="87"/>
      <c r="O262" s="87"/>
      <c r="P262" s="87"/>
      <c r="Q262" s="87"/>
      <c r="R262" s="87"/>
      <c r="S262" s="87"/>
      <c r="T262" s="87"/>
      <c r="U262" s="87"/>
      <c r="V262" s="87"/>
      <c r="W262" s="87"/>
      <c r="X262" s="87"/>
      <c r="Y262" s="87"/>
      <c r="Z262" s="87"/>
      <c r="AA262" s="87"/>
      <c r="AB262" s="87"/>
      <c r="AC262" s="87"/>
      <c r="AD262" s="87"/>
      <c r="AE262" s="87"/>
      <c r="AF262" s="87"/>
      <c r="AG262" s="87"/>
      <c r="AH262" s="87"/>
      <c r="AI262" s="87"/>
      <c r="AJ262" s="87"/>
      <c r="AK262" s="87"/>
      <c r="AL262" s="87"/>
      <c r="AM262" s="87"/>
      <c r="AN262" s="87"/>
      <c r="AO262" s="87"/>
      <c r="AP262" s="87"/>
      <c r="AQ262" s="87"/>
      <c r="AR262" s="87"/>
      <c r="AS262" s="87"/>
    </row>
    <row r="263" spans="1:45">
      <c r="A263" s="87"/>
      <c r="B263" s="87"/>
      <c r="C263" s="87"/>
      <c r="D263" s="87"/>
      <c r="E263" s="87"/>
      <c r="F263" s="87"/>
      <c r="G263" s="87"/>
      <c r="H263" s="87"/>
      <c r="I263" s="87"/>
      <c r="J263" s="87"/>
      <c r="K263" s="87"/>
      <c r="L263" s="87"/>
      <c r="M263" s="87"/>
      <c r="N263" s="87"/>
      <c r="O263" s="87"/>
      <c r="P263" s="87"/>
      <c r="Q263" s="87"/>
      <c r="R263" s="87"/>
      <c r="S263" s="87"/>
      <c r="T263" s="87"/>
      <c r="U263" s="87"/>
      <c r="V263" s="87"/>
      <c r="W263" s="87"/>
      <c r="X263" s="87"/>
      <c r="Y263" s="87"/>
      <c r="Z263" s="87"/>
      <c r="AA263" s="87"/>
      <c r="AB263" s="87"/>
      <c r="AC263" s="87"/>
      <c r="AD263" s="87"/>
      <c r="AE263" s="87"/>
      <c r="AF263" s="87"/>
      <c r="AG263" s="87"/>
      <c r="AH263" s="87"/>
      <c r="AI263" s="87"/>
      <c r="AJ263" s="87"/>
      <c r="AK263" s="87"/>
      <c r="AL263" s="87"/>
      <c r="AM263" s="87"/>
      <c r="AN263" s="87"/>
      <c r="AO263" s="87"/>
      <c r="AP263" s="87"/>
      <c r="AQ263" s="87"/>
      <c r="AR263" s="87"/>
      <c r="AS263" s="87"/>
    </row>
    <row r="264" spans="1:45">
      <c r="A264" s="87"/>
      <c r="B264" s="87"/>
      <c r="C264" s="87"/>
      <c r="D264" s="87"/>
      <c r="E264" s="87"/>
      <c r="F264" s="87"/>
      <c r="G264" s="87"/>
      <c r="H264" s="87"/>
      <c r="I264" s="87"/>
      <c r="J264" s="87"/>
      <c r="K264" s="87"/>
      <c r="L264" s="87"/>
      <c r="M264" s="87"/>
      <c r="N264" s="87"/>
      <c r="O264" s="87"/>
      <c r="P264" s="87"/>
      <c r="Q264" s="87"/>
      <c r="R264" s="87"/>
      <c r="S264" s="87"/>
      <c r="T264" s="87"/>
      <c r="U264" s="87"/>
      <c r="V264" s="87"/>
      <c r="W264" s="87"/>
      <c r="X264" s="87"/>
      <c r="Y264" s="87"/>
      <c r="Z264" s="87"/>
      <c r="AA264" s="87"/>
      <c r="AB264" s="87"/>
      <c r="AC264" s="87"/>
      <c r="AD264" s="87"/>
      <c r="AE264" s="87"/>
      <c r="AF264" s="87"/>
      <c r="AG264" s="87"/>
      <c r="AH264" s="87"/>
      <c r="AI264" s="87"/>
      <c r="AJ264" s="87"/>
      <c r="AK264" s="87"/>
      <c r="AL264" s="87"/>
      <c r="AM264" s="87"/>
      <c r="AN264" s="87"/>
      <c r="AO264" s="87"/>
      <c r="AP264" s="87"/>
      <c r="AQ264" s="87"/>
      <c r="AR264" s="87"/>
      <c r="AS264" s="87"/>
    </row>
    <row r="265" spans="1:45">
      <c r="A265" s="87"/>
      <c r="B265" s="87"/>
      <c r="C265" s="87"/>
      <c r="D265" s="87"/>
      <c r="E265" s="87"/>
      <c r="F265" s="87"/>
      <c r="G265" s="87"/>
      <c r="H265" s="87"/>
      <c r="I265" s="87"/>
      <c r="J265" s="87"/>
      <c r="K265" s="87"/>
      <c r="L265" s="87"/>
      <c r="M265" s="87"/>
      <c r="N265" s="87"/>
      <c r="O265" s="87"/>
      <c r="P265" s="87"/>
      <c r="Q265" s="87"/>
      <c r="R265" s="87"/>
      <c r="S265" s="87"/>
      <c r="T265" s="87"/>
      <c r="U265" s="87"/>
      <c r="V265" s="87"/>
      <c r="W265" s="87"/>
      <c r="X265" s="87"/>
      <c r="Y265" s="87"/>
      <c r="Z265" s="87"/>
      <c r="AA265" s="87"/>
      <c r="AB265" s="87"/>
      <c r="AC265" s="87"/>
      <c r="AD265" s="87"/>
      <c r="AE265" s="87"/>
      <c r="AF265" s="87"/>
      <c r="AG265" s="87"/>
      <c r="AH265" s="87"/>
      <c r="AI265" s="87"/>
      <c r="AJ265" s="87"/>
      <c r="AK265" s="87"/>
      <c r="AL265" s="87"/>
      <c r="AM265" s="87"/>
      <c r="AN265" s="87"/>
      <c r="AO265" s="87"/>
      <c r="AP265" s="87"/>
      <c r="AQ265" s="87"/>
      <c r="AR265" s="87"/>
      <c r="AS265" s="87"/>
    </row>
    <row r="266" spans="1:45">
      <c r="A266" s="87"/>
      <c r="B266" s="87"/>
      <c r="C266" s="87"/>
      <c r="D266" s="87"/>
      <c r="E266" s="87"/>
      <c r="F266" s="87"/>
      <c r="G266" s="87"/>
      <c r="H266" s="87"/>
      <c r="I266" s="87"/>
      <c r="J266" s="87"/>
      <c r="K266" s="87"/>
      <c r="L266" s="87"/>
      <c r="M266" s="87"/>
      <c r="N266" s="87"/>
      <c r="O266" s="87"/>
      <c r="P266" s="87"/>
      <c r="Q266" s="87"/>
      <c r="R266" s="87"/>
      <c r="S266" s="87"/>
      <c r="T266" s="87"/>
      <c r="U266" s="87"/>
      <c r="V266" s="87"/>
      <c r="W266" s="87"/>
      <c r="X266" s="87"/>
      <c r="Y266" s="87"/>
      <c r="Z266" s="87"/>
      <c r="AA266" s="87"/>
      <c r="AB266" s="87"/>
      <c r="AC266" s="87"/>
      <c r="AD266" s="87"/>
      <c r="AE266" s="87"/>
      <c r="AF266" s="87"/>
      <c r="AG266" s="87"/>
      <c r="AH266" s="87"/>
      <c r="AI266" s="87"/>
      <c r="AJ266" s="87"/>
      <c r="AK266" s="87"/>
      <c r="AL266" s="87"/>
      <c r="AM266" s="87"/>
      <c r="AN266" s="87"/>
      <c r="AO266" s="87"/>
      <c r="AP266" s="87"/>
      <c r="AQ266" s="87"/>
      <c r="AR266" s="87"/>
      <c r="AS266" s="87"/>
    </row>
    <row r="267" spans="1:45">
      <c r="A267" s="87"/>
      <c r="B267" s="87"/>
      <c r="C267" s="87"/>
      <c r="D267" s="87"/>
      <c r="E267" s="87"/>
      <c r="F267" s="87"/>
      <c r="G267" s="87"/>
      <c r="H267" s="87"/>
      <c r="I267" s="87"/>
      <c r="J267" s="87"/>
      <c r="K267" s="87"/>
      <c r="L267" s="87"/>
      <c r="M267" s="87"/>
      <c r="N267" s="87"/>
      <c r="O267" s="87"/>
      <c r="P267" s="87"/>
      <c r="Q267" s="87"/>
      <c r="R267" s="87"/>
      <c r="S267" s="87"/>
      <c r="T267" s="87"/>
      <c r="U267" s="87"/>
      <c r="V267" s="87"/>
      <c r="W267" s="87"/>
      <c r="X267" s="87"/>
      <c r="Y267" s="87"/>
      <c r="Z267" s="87"/>
      <c r="AA267" s="87"/>
      <c r="AB267" s="87"/>
      <c r="AC267" s="87"/>
      <c r="AD267" s="87"/>
      <c r="AE267" s="87"/>
      <c r="AF267" s="87"/>
      <c r="AG267" s="87"/>
      <c r="AH267" s="87"/>
      <c r="AI267" s="87"/>
      <c r="AJ267" s="87"/>
      <c r="AK267" s="87"/>
      <c r="AL267" s="87"/>
      <c r="AM267" s="87"/>
      <c r="AN267" s="87"/>
      <c r="AO267" s="87"/>
      <c r="AP267" s="87"/>
      <c r="AQ267" s="87"/>
      <c r="AR267" s="87"/>
      <c r="AS267" s="87"/>
    </row>
    <row r="268" spans="1:45">
      <c r="A268" s="87"/>
      <c r="B268" s="87"/>
      <c r="C268" s="87"/>
      <c r="D268" s="87"/>
      <c r="E268" s="87"/>
      <c r="F268" s="87"/>
      <c r="G268" s="87"/>
      <c r="H268" s="87"/>
      <c r="I268" s="87"/>
      <c r="J268" s="87"/>
      <c r="K268" s="87"/>
      <c r="L268" s="87"/>
      <c r="M268" s="87"/>
      <c r="N268" s="87"/>
      <c r="O268" s="87"/>
      <c r="P268" s="87"/>
      <c r="Q268" s="87"/>
      <c r="R268" s="87"/>
      <c r="S268" s="87"/>
      <c r="T268" s="87"/>
      <c r="U268" s="87"/>
      <c r="V268" s="87"/>
      <c r="W268" s="87"/>
      <c r="X268" s="87"/>
      <c r="Y268" s="87"/>
      <c r="Z268" s="87"/>
      <c r="AA268" s="87"/>
      <c r="AB268" s="87"/>
      <c r="AC268" s="87"/>
      <c r="AD268" s="87"/>
      <c r="AE268" s="87"/>
      <c r="AF268" s="87"/>
      <c r="AG268" s="87"/>
      <c r="AH268" s="87"/>
      <c r="AI268" s="87"/>
      <c r="AJ268" s="87"/>
      <c r="AK268" s="87"/>
      <c r="AL268" s="87"/>
      <c r="AM268" s="87"/>
      <c r="AN268" s="87"/>
      <c r="AO268" s="87"/>
      <c r="AP268" s="87"/>
      <c r="AQ268" s="87"/>
      <c r="AR268" s="87"/>
      <c r="AS268" s="87"/>
    </row>
    <row r="269" spans="1:45">
      <c r="A269" s="87"/>
      <c r="B269" s="87"/>
      <c r="C269" s="87"/>
      <c r="D269" s="87"/>
      <c r="E269" s="87"/>
      <c r="F269" s="87"/>
      <c r="G269" s="87"/>
      <c r="H269" s="87"/>
      <c r="I269" s="87"/>
      <c r="J269" s="87"/>
      <c r="K269" s="87"/>
      <c r="L269" s="87"/>
      <c r="M269" s="87"/>
      <c r="N269" s="87"/>
      <c r="O269" s="87"/>
      <c r="P269" s="87"/>
      <c r="Q269" s="87"/>
      <c r="R269" s="87"/>
      <c r="S269" s="87"/>
      <c r="T269" s="87"/>
      <c r="U269" s="87"/>
      <c r="V269" s="87"/>
      <c r="W269" s="87"/>
      <c r="X269" s="87"/>
      <c r="Y269" s="87"/>
      <c r="Z269" s="87"/>
      <c r="AA269" s="87"/>
      <c r="AB269" s="87"/>
      <c r="AC269" s="87"/>
      <c r="AD269" s="87"/>
      <c r="AE269" s="87"/>
      <c r="AF269" s="87"/>
      <c r="AG269" s="87"/>
      <c r="AH269" s="87"/>
      <c r="AI269" s="87"/>
      <c r="AJ269" s="87"/>
      <c r="AK269" s="87"/>
      <c r="AL269" s="87"/>
      <c r="AM269" s="87"/>
      <c r="AN269" s="87"/>
      <c r="AO269" s="87"/>
      <c r="AP269" s="87"/>
      <c r="AQ269" s="87"/>
      <c r="AR269" s="87"/>
      <c r="AS269" s="87"/>
    </row>
    <row r="270" spans="1:45">
      <c r="A270" s="87"/>
      <c r="B270" s="87"/>
      <c r="C270" s="87"/>
      <c r="D270" s="87"/>
      <c r="E270" s="87"/>
      <c r="F270" s="87"/>
      <c r="G270" s="87"/>
      <c r="H270" s="87"/>
      <c r="I270" s="87"/>
      <c r="J270" s="87"/>
      <c r="K270" s="87"/>
      <c r="L270" s="87"/>
      <c r="M270" s="87"/>
      <c r="N270" s="87"/>
      <c r="O270" s="87"/>
      <c r="P270" s="87"/>
      <c r="Q270" s="87"/>
      <c r="R270" s="87"/>
      <c r="S270" s="87"/>
      <c r="T270" s="87"/>
      <c r="U270" s="87"/>
      <c r="V270" s="87"/>
      <c r="W270" s="87"/>
      <c r="X270" s="87"/>
      <c r="Y270" s="87"/>
      <c r="Z270" s="87"/>
      <c r="AA270" s="87"/>
      <c r="AB270" s="87"/>
      <c r="AC270" s="87"/>
      <c r="AD270" s="87"/>
      <c r="AE270" s="87"/>
      <c r="AF270" s="87"/>
      <c r="AG270" s="87"/>
      <c r="AH270" s="87"/>
      <c r="AI270" s="87"/>
      <c r="AJ270" s="87"/>
      <c r="AK270" s="87"/>
      <c r="AL270" s="87"/>
      <c r="AM270" s="87"/>
      <c r="AN270" s="87"/>
      <c r="AO270" s="87"/>
      <c r="AP270" s="87"/>
      <c r="AQ270" s="87"/>
      <c r="AR270" s="87"/>
      <c r="AS270" s="87"/>
    </row>
    <row r="271" spans="1:45">
      <c r="A271" s="87"/>
      <c r="B271" s="87"/>
      <c r="C271" s="87"/>
      <c r="D271" s="87"/>
      <c r="E271" s="87"/>
      <c r="F271" s="87"/>
      <c r="G271" s="87"/>
      <c r="H271" s="87"/>
      <c r="I271" s="87"/>
      <c r="J271" s="87"/>
      <c r="K271" s="87"/>
      <c r="L271" s="87"/>
      <c r="M271" s="87"/>
      <c r="N271" s="87"/>
      <c r="O271" s="87"/>
      <c r="P271" s="87"/>
      <c r="Q271" s="87"/>
      <c r="R271" s="87"/>
      <c r="S271" s="87"/>
      <c r="T271" s="87"/>
      <c r="U271" s="87"/>
      <c r="V271" s="87"/>
      <c r="W271" s="87"/>
      <c r="X271" s="87"/>
      <c r="Y271" s="87"/>
      <c r="Z271" s="87"/>
      <c r="AA271" s="87"/>
      <c r="AB271" s="87"/>
      <c r="AC271" s="87"/>
      <c r="AD271" s="87"/>
      <c r="AE271" s="87"/>
      <c r="AF271" s="87"/>
      <c r="AG271" s="87"/>
      <c r="AH271" s="87"/>
      <c r="AI271" s="87"/>
      <c r="AJ271" s="87"/>
      <c r="AK271" s="87"/>
      <c r="AL271" s="87"/>
      <c r="AM271" s="87"/>
      <c r="AN271" s="87"/>
      <c r="AO271" s="87"/>
      <c r="AP271" s="87"/>
      <c r="AQ271" s="87"/>
      <c r="AR271" s="87"/>
      <c r="AS271" s="87"/>
    </row>
    <row r="272" spans="1:45">
      <c r="A272" s="87"/>
      <c r="B272" s="87"/>
      <c r="C272" s="87"/>
      <c r="D272" s="87"/>
      <c r="E272" s="87"/>
      <c r="F272" s="87"/>
      <c r="G272" s="87"/>
      <c r="H272" s="87"/>
      <c r="I272" s="87"/>
      <c r="J272" s="87"/>
      <c r="K272" s="87"/>
      <c r="L272" s="87"/>
      <c r="M272" s="87"/>
      <c r="N272" s="87"/>
      <c r="O272" s="87"/>
      <c r="P272" s="87"/>
      <c r="Q272" s="87"/>
      <c r="R272" s="87"/>
      <c r="S272" s="87"/>
      <c r="T272" s="87"/>
      <c r="U272" s="87"/>
      <c r="V272" s="87"/>
      <c r="W272" s="87"/>
      <c r="X272" s="87"/>
      <c r="Y272" s="87"/>
      <c r="Z272" s="87"/>
      <c r="AA272" s="87"/>
      <c r="AB272" s="87"/>
      <c r="AC272" s="87"/>
      <c r="AD272" s="87"/>
      <c r="AE272" s="87"/>
      <c r="AF272" s="87"/>
      <c r="AG272" s="87"/>
      <c r="AH272" s="87"/>
      <c r="AI272" s="87"/>
      <c r="AJ272" s="87"/>
      <c r="AK272" s="87"/>
      <c r="AL272" s="87"/>
      <c r="AM272" s="87"/>
      <c r="AN272" s="87"/>
      <c r="AO272" s="87"/>
      <c r="AP272" s="87"/>
      <c r="AQ272" s="87"/>
      <c r="AR272" s="87"/>
      <c r="AS272" s="87"/>
    </row>
    <row r="273" spans="1:45">
      <c r="A273" s="87"/>
      <c r="B273" s="87"/>
      <c r="C273" s="87"/>
      <c r="D273" s="87"/>
      <c r="E273" s="87"/>
      <c r="F273" s="87"/>
      <c r="G273" s="87"/>
      <c r="H273" s="87"/>
      <c r="I273" s="87"/>
      <c r="J273" s="87"/>
      <c r="K273" s="87"/>
      <c r="L273" s="87"/>
      <c r="M273" s="87"/>
      <c r="N273" s="87"/>
      <c r="O273" s="87"/>
      <c r="P273" s="87"/>
      <c r="Q273" s="87"/>
      <c r="R273" s="87"/>
      <c r="S273" s="87"/>
      <c r="T273" s="87"/>
      <c r="U273" s="87"/>
      <c r="V273" s="87"/>
      <c r="W273" s="87"/>
      <c r="X273" s="87"/>
      <c r="Y273" s="87"/>
      <c r="Z273" s="87"/>
      <c r="AA273" s="87"/>
      <c r="AB273" s="87"/>
      <c r="AC273" s="87"/>
      <c r="AD273" s="87"/>
      <c r="AE273" s="87"/>
      <c r="AF273" s="87"/>
      <c r="AG273" s="87"/>
      <c r="AH273" s="87"/>
      <c r="AI273" s="87"/>
      <c r="AJ273" s="87"/>
      <c r="AK273" s="87"/>
      <c r="AL273" s="87"/>
      <c r="AM273" s="87"/>
      <c r="AN273" s="87"/>
      <c r="AO273" s="87"/>
      <c r="AP273" s="87"/>
      <c r="AQ273" s="87"/>
      <c r="AR273" s="87"/>
      <c r="AS273" s="87"/>
    </row>
    <row r="274" spans="1:45">
      <c r="A274" s="87"/>
      <c r="B274" s="87"/>
      <c r="C274" s="87"/>
      <c r="D274" s="87"/>
      <c r="E274" s="87"/>
      <c r="F274" s="87"/>
      <c r="G274" s="87"/>
      <c r="H274" s="87"/>
      <c r="I274" s="87"/>
      <c r="J274" s="87"/>
      <c r="K274" s="87"/>
      <c r="L274" s="87"/>
      <c r="M274" s="87"/>
      <c r="N274" s="87"/>
      <c r="O274" s="87"/>
      <c r="P274" s="87"/>
      <c r="Q274" s="87"/>
      <c r="R274" s="87"/>
      <c r="S274" s="87"/>
      <c r="T274" s="87"/>
      <c r="U274" s="87"/>
      <c r="V274" s="87"/>
      <c r="W274" s="87"/>
      <c r="X274" s="87"/>
      <c r="Y274" s="87"/>
      <c r="Z274" s="87"/>
      <c r="AA274" s="87"/>
      <c r="AB274" s="87"/>
      <c r="AC274" s="87"/>
      <c r="AD274" s="87"/>
      <c r="AE274" s="87"/>
      <c r="AF274" s="87"/>
      <c r="AG274" s="87"/>
      <c r="AH274" s="87"/>
      <c r="AI274" s="87"/>
      <c r="AJ274" s="87"/>
      <c r="AK274" s="87"/>
      <c r="AL274" s="87"/>
      <c r="AM274" s="87"/>
      <c r="AN274" s="87"/>
      <c r="AO274" s="87"/>
      <c r="AP274" s="87"/>
      <c r="AQ274" s="87"/>
      <c r="AR274" s="87"/>
      <c r="AS274" s="87"/>
    </row>
    <row r="275" spans="1:45">
      <c r="A275" s="87"/>
      <c r="B275" s="87"/>
      <c r="C275" s="87"/>
      <c r="D275" s="87"/>
      <c r="E275" s="87"/>
      <c r="F275" s="87"/>
      <c r="G275" s="87"/>
      <c r="H275" s="87"/>
      <c r="I275" s="87"/>
      <c r="J275" s="87"/>
      <c r="K275" s="87"/>
      <c r="L275" s="87"/>
      <c r="M275" s="87"/>
      <c r="N275" s="87"/>
      <c r="O275" s="87"/>
      <c r="P275" s="87"/>
      <c r="Q275" s="87"/>
      <c r="R275" s="87"/>
      <c r="S275" s="87"/>
      <c r="T275" s="87"/>
      <c r="U275" s="87"/>
      <c r="V275" s="87"/>
      <c r="W275" s="87"/>
      <c r="X275" s="87"/>
      <c r="Y275" s="87"/>
      <c r="Z275" s="87"/>
      <c r="AA275" s="87"/>
      <c r="AB275" s="87"/>
      <c r="AC275" s="87"/>
      <c r="AD275" s="87"/>
      <c r="AE275" s="87"/>
      <c r="AF275" s="87"/>
      <c r="AG275" s="87"/>
      <c r="AH275" s="87"/>
      <c r="AI275" s="87"/>
      <c r="AJ275" s="87"/>
      <c r="AK275" s="87"/>
      <c r="AL275" s="87"/>
      <c r="AM275" s="87"/>
      <c r="AN275" s="87"/>
      <c r="AO275" s="87"/>
      <c r="AP275" s="87"/>
      <c r="AQ275" s="87"/>
      <c r="AR275" s="87"/>
      <c r="AS275" s="87"/>
    </row>
    <row r="276" spans="1:45">
      <c r="A276" s="87"/>
      <c r="B276" s="87"/>
      <c r="C276" s="87"/>
      <c r="D276" s="87"/>
      <c r="E276" s="87"/>
      <c r="F276" s="87"/>
      <c r="G276" s="87"/>
      <c r="H276" s="87"/>
      <c r="I276" s="87"/>
      <c r="J276" s="87"/>
      <c r="K276" s="87"/>
      <c r="L276" s="87"/>
      <c r="M276" s="87"/>
      <c r="N276" s="87"/>
      <c r="O276" s="87"/>
      <c r="P276" s="87"/>
      <c r="Q276" s="87"/>
      <c r="R276" s="87"/>
      <c r="S276" s="87"/>
      <c r="T276" s="87"/>
      <c r="U276" s="87"/>
      <c r="V276" s="87"/>
      <c r="W276" s="87"/>
      <c r="X276" s="87"/>
      <c r="Y276" s="87"/>
      <c r="Z276" s="87"/>
      <c r="AA276" s="87"/>
      <c r="AB276" s="87"/>
      <c r="AC276" s="87"/>
      <c r="AD276" s="87"/>
      <c r="AE276" s="87"/>
      <c r="AF276" s="87"/>
      <c r="AG276" s="87"/>
      <c r="AH276" s="87"/>
      <c r="AI276" s="87"/>
      <c r="AJ276" s="87"/>
      <c r="AK276" s="87"/>
      <c r="AL276" s="87"/>
      <c r="AM276" s="87"/>
      <c r="AN276" s="87"/>
      <c r="AO276" s="87"/>
      <c r="AP276" s="87"/>
      <c r="AQ276" s="87"/>
      <c r="AR276" s="87"/>
      <c r="AS276" s="87"/>
    </row>
    <row r="277" spans="1:45">
      <c r="A277" s="87"/>
      <c r="B277" s="87"/>
      <c r="C277" s="87"/>
      <c r="D277" s="87"/>
      <c r="E277" s="87"/>
      <c r="F277" s="87"/>
      <c r="G277" s="87"/>
      <c r="H277" s="87"/>
      <c r="I277" s="87"/>
      <c r="J277" s="87"/>
      <c r="K277" s="87"/>
      <c r="L277" s="87"/>
      <c r="M277" s="87"/>
      <c r="N277" s="87"/>
      <c r="O277" s="87"/>
      <c r="P277" s="87"/>
      <c r="Q277" s="87"/>
      <c r="R277" s="87"/>
      <c r="S277" s="87"/>
      <c r="T277" s="87"/>
      <c r="U277" s="87"/>
      <c r="V277" s="87"/>
      <c r="W277" s="87"/>
      <c r="X277" s="87"/>
      <c r="Y277" s="87"/>
      <c r="Z277" s="87"/>
      <c r="AA277" s="87"/>
      <c r="AB277" s="87"/>
      <c r="AC277" s="87"/>
      <c r="AD277" s="87"/>
      <c r="AE277" s="87"/>
      <c r="AF277" s="87"/>
      <c r="AG277" s="87"/>
      <c r="AH277" s="87"/>
      <c r="AI277" s="87"/>
      <c r="AJ277" s="87"/>
      <c r="AK277" s="87"/>
      <c r="AL277" s="87"/>
      <c r="AM277" s="87"/>
      <c r="AN277" s="87"/>
      <c r="AO277" s="87"/>
      <c r="AP277" s="87"/>
      <c r="AQ277" s="87"/>
      <c r="AR277" s="87"/>
      <c r="AS277" s="87"/>
    </row>
    <row r="278" spans="1:45">
      <c r="A278" s="87"/>
      <c r="B278" s="87"/>
      <c r="C278" s="87"/>
      <c r="D278" s="87"/>
      <c r="E278" s="87"/>
      <c r="F278" s="87"/>
      <c r="G278" s="87"/>
      <c r="H278" s="87"/>
      <c r="I278" s="87"/>
      <c r="J278" s="87"/>
      <c r="K278" s="87"/>
      <c r="L278" s="87"/>
      <c r="M278" s="87"/>
      <c r="N278" s="87"/>
      <c r="O278" s="87"/>
      <c r="P278" s="87"/>
      <c r="Q278" s="87"/>
      <c r="R278" s="87"/>
      <c r="S278" s="87"/>
      <c r="T278" s="87"/>
      <c r="U278" s="87"/>
      <c r="V278" s="87"/>
      <c r="W278" s="87"/>
      <c r="X278" s="87"/>
      <c r="Y278" s="87"/>
      <c r="Z278" s="87"/>
      <c r="AA278" s="87"/>
      <c r="AB278" s="87"/>
      <c r="AC278" s="87"/>
      <c r="AD278" s="87"/>
      <c r="AE278" s="87"/>
      <c r="AF278" s="87"/>
      <c r="AG278" s="87"/>
      <c r="AH278" s="87"/>
      <c r="AI278" s="87"/>
      <c r="AJ278" s="87"/>
      <c r="AK278" s="87"/>
      <c r="AL278" s="87"/>
      <c r="AM278" s="87"/>
      <c r="AN278" s="87"/>
      <c r="AO278" s="87"/>
      <c r="AP278" s="87"/>
      <c r="AQ278" s="87"/>
      <c r="AR278" s="87"/>
      <c r="AS278" s="87"/>
    </row>
    <row r="279" spans="1:45">
      <c r="A279" s="87"/>
      <c r="B279" s="87"/>
      <c r="C279" s="87"/>
      <c r="D279" s="87"/>
      <c r="E279" s="87"/>
      <c r="F279" s="87"/>
      <c r="G279" s="87"/>
      <c r="H279" s="87"/>
      <c r="I279" s="87"/>
      <c r="J279" s="87"/>
      <c r="K279" s="87"/>
      <c r="L279" s="87"/>
      <c r="M279" s="87"/>
      <c r="N279" s="87"/>
      <c r="O279" s="87"/>
      <c r="P279" s="87"/>
      <c r="Q279" s="87"/>
      <c r="R279" s="87"/>
      <c r="S279" s="87"/>
      <c r="T279" s="87"/>
      <c r="U279" s="87"/>
      <c r="V279" s="87"/>
      <c r="W279" s="87"/>
      <c r="X279" s="87"/>
      <c r="Y279" s="87"/>
      <c r="Z279" s="87"/>
      <c r="AA279" s="87"/>
      <c r="AB279" s="87"/>
      <c r="AC279" s="87"/>
      <c r="AD279" s="87"/>
      <c r="AE279" s="87"/>
      <c r="AF279" s="87"/>
      <c r="AG279" s="87"/>
      <c r="AH279" s="87"/>
      <c r="AI279" s="87"/>
      <c r="AJ279" s="87"/>
      <c r="AK279" s="87"/>
      <c r="AL279" s="87"/>
      <c r="AM279" s="87"/>
      <c r="AN279" s="87"/>
      <c r="AO279" s="87"/>
      <c r="AP279" s="87"/>
      <c r="AQ279" s="87"/>
      <c r="AR279" s="87"/>
      <c r="AS279" s="87"/>
    </row>
    <row r="280" spans="1:45">
      <c r="A280" s="87"/>
      <c r="B280" s="87"/>
      <c r="C280" s="87"/>
      <c r="D280" s="87"/>
      <c r="E280" s="87"/>
      <c r="F280" s="87"/>
      <c r="G280" s="87"/>
      <c r="H280" s="87"/>
      <c r="I280" s="87"/>
      <c r="J280" s="87"/>
      <c r="K280" s="87"/>
      <c r="L280" s="87"/>
      <c r="M280" s="87"/>
      <c r="N280" s="87"/>
      <c r="O280" s="87"/>
      <c r="P280" s="87"/>
      <c r="Q280" s="87"/>
      <c r="R280" s="87"/>
      <c r="S280" s="87"/>
      <c r="T280" s="87"/>
      <c r="U280" s="87"/>
      <c r="V280" s="87"/>
      <c r="W280" s="87"/>
      <c r="X280" s="87"/>
      <c r="Y280" s="87"/>
      <c r="Z280" s="87"/>
      <c r="AA280" s="87"/>
      <c r="AB280" s="87"/>
      <c r="AC280" s="87"/>
      <c r="AD280" s="87"/>
      <c r="AE280" s="87"/>
      <c r="AF280" s="87"/>
      <c r="AG280" s="87"/>
      <c r="AH280" s="87"/>
      <c r="AI280" s="87"/>
      <c r="AJ280" s="87"/>
      <c r="AK280" s="87"/>
      <c r="AL280" s="87"/>
      <c r="AM280" s="87"/>
      <c r="AN280" s="87"/>
      <c r="AO280" s="87"/>
      <c r="AP280" s="87"/>
      <c r="AQ280" s="87"/>
      <c r="AR280" s="87"/>
      <c r="AS280" s="87"/>
    </row>
    <row r="281" spans="1:45">
      <c r="A281" s="87"/>
      <c r="B281" s="87"/>
      <c r="C281" s="87"/>
      <c r="D281" s="87"/>
      <c r="E281" s="87"/>
      <c r="F281" s="87"/>
      <c r="G281" s="87"/>
      <c r="H281" s="87"/>
      <c r="I281" s="87"/>
      <c r="J281" s="87"/>
      <c r="K281" s="87"/>
      <c r="L281" s="87"/>
      <c r="M281" s="87"/>
      <c r="N281" s="87"/>
      <c r="O281" s="87"/>
      <c r="P281" s="87"/>
      <c r="Q281" s="87"/>
      <c r="R281" s="87"/>
      <c r="S281" s="87"/>
      <c r="T281" s="87"/>
      <c r="U281" s="87"/>
      <c r="V281" s="87"/>
      <c r="W281" s="87"/>
      <c r="X281" s="87"/>
      <c r="Y281" s="87"/>
      <c r="Z281" s="87"/>
      <c r="AA281" s="87"/>
      <c r="AB281" s="87"/>
      <c r="AC281" s="87"/>
      <c r="AD281" s="87"/>
      <c r="AE281" s="87"/>
      <c r="AF281" s="87"/>
      <c r="AG281" s="87"/>
      <c r="AH281" s="87"/>
      <c r="AI281" s="87"/>
      <c r="AJ281" s="87"/>
      <c r="AK281" s="87"/>
      <c r="AL281" s="87"/>
      <c r="AM281" s="87"/>
      <c r="AN281" s="87"/>
      <c r="AO281" s="87"/>
      <c r="AP281" s="87"/>
      <c r="AQ281" s="87"/>
      <c r="AR281" s="87"/>
      <c r="AS281" s="87"/>
    </row>
    <row r="282" spans="1:45">
      <c r="A282" s="87"/>
      <c r="B282" s="87"/>
      <c r="C282" s="87"/>
      <c r="D282" s="87"/>
      <c r="E282" s="87"/>
      <c r="F282" s="87"/>
      <c r="G282" s="87"/>
      <c r="H282" s="87"/>
      <c r="I282" s="87"/>
      <c r="J282" s="87"/>
      <c r="K282" s="87"/>
      <c r="L282" s="87"/>
      <c r="M282" s="87"/>
      <c r="N282" s="87"/>
      <c r="O282" s="87"/>
      <c r="P282" s="87"/>
      <c r="Q282" s="87"/>
      <c r="R282" s="87"/>
      <c r="S282" s="87"/>
      <c r="T282" s="87"/>
      <c r="U282" s="87"/>
      <c r="V282" s="87"/>
      <c r="W282" s="87"/>
      <c r="X282" s="87"/>
      <c r="Y282" s="87"/>
      <c r="Z282" s="87"/>
      <c r="AA282" s="87"/>
      <c r="AB282" s="87"/>
      <c r="AC282" s="87"/>
      <c r="AD282" s="87"/>
      <c r="AE282" s="87"/>
      <c r="AF282" s="87"/>
      <c r="AG282" s="87"/>
      <c r="AH282" s="87"/>
      <c r="AI282" s="87"/>
      <c r="AJ282" s="87"/>
      <c r="AK282" s="87"/>
      <c r="AL282" s="87"/>
      <c r="AM282" s="87"/>
      <c r="AN282" s="87"/>
      <c r="AO282" s="87"/>
      <c r="AP282" s="87"/>
      <c r="AQ282" s="87"/>
      <c r="AR282" s="87"/>
      <c r="AS282" s="87"/>
    </row>
    <row r="283" spans="1:45">
      <c r="A283" s="87"/>
      <c r="B283" s="87"/>
      <c r="C283" s="87"/>
      <c r="D283" s="87"/>
      <c r="E283" s="87"/>
      <c r="F283" s="87"/>
      <c r="G283" s="87"/>
      <c r="H283" s="87"/>
      <c r="I283" s="87"/>
      <c r="J283" s="87"/>
      <c r="K283" s="87"/>
      <c r="L283" s="87"/>
      <c r="M283" s="87"/>
      <c r="N283" s="87"/>
      <c r="O283" s="87"/>
      <c r="P283" s="87"/>
      <c r="Q283" s="87"/>
      <c r="R283" s="87"/>
      <c r="S283" s="87"/>
      <c r="T283" s="87"/>
      <c r="U283" s="87"/>
      <c r="V283" s="87"/>
      <c r="W283" s="87"/>
      <c r="X283" s="87"/>
      <c r="Y283" s="87"/>
      <c r="Z283" s="87"/>
      <c r="AA283" s="87"/>
      <c r="AB283" s="87"/>
      <c r="AC283" s="87"/>
      <c r="AD283" s="87"/>
      <c r="AE283" s="87"/>
      <c r="AF283" s="87"/>
      <c r="AG283" s="87"/>
      <c r="AH283" s="87"/>
      <c r="AI283" s="87"/>
      <c r="AJ283" s="87"/>
      <c r="AK283" s="87"/>
      <c r="AL283" s="87"/>
      <c r="AM283" s="87"/>
      <c r="AN283" s="87"/>
      <c r="AO283" s="87"/>
      <c r="AP283" s="87"/>
      <c r="AQ283" s="87"/>
      <c r="AR283" s="87"/>
      <c r="AS283" s="87"/>
    </row>
    <row r="284" spans="1:45">
      <c r="A284" s="87"/>
      <c r="B284" s="87"/>
      <c r="C284" s="87"/>
      <c r="D284" s="87"/>
      <c r="E284" s="87"/>
      <c r="F284" s="87"/>
      <c r="G284" s="87"/>
      <c r="H284" s="87"/>
      <c r="I284" s="87"/>
      <c r="J284" s="87"/>
      <c r="K284" s="87"/>
      <c r="L284" s="87"/>
      <c r="M284" s="87"/>
      <c r="N284" s="87"/>
      <c r="O284" s="87"/>
      <c r="P284" s="87"/>
      <c r="Q284" s="87"/>
      <c r="R284" s="87"/>
      <c r="S284" s="87"/>
      <c r="T284" s="87"/>
      <c r="U284" s="87"/>
      <c r="V284" s="87"/>
      <c r="W284" s="87"/>
      <c r="X284" s="87"/>
      <c r="Y284" s="87"/>
      <c r="Z284" s="87"/>
      <c r="AA284" s="87"/>
      <c r="AB284" s="87"/>
      <c r="AC284" s="87"/>
      <c r="AD284" s="87"/>
      <c r="AE284" s="87"/>
      <c r="AF284" s="87"/>
      <c r="AG284" s="87"/>
      <c r="AH284" s="87"/>
      <c r="AI284" s="87"/>
      <c r="AJ284" s="87"/>
      <c r="AK284" s="87"/>
      <c r="AL284" s="87"/>
      <c r="AM284" s="87"/>
      <c r="AN284" s="87"/>
      <c r="AO284" s="87"/>
      <c r="AP284" s="87"/>
      <c r="AQ284" s="87"/>
      <c r="AR284" s="87"/>
      <c r="AS284" s="87"/>
    </row>
    <row r="285" spans="1:45">
      <c r="A285" s="87"/>
      <c r="B285" s="87"/>
      <c r="C285" s="87"/>
      <c r="D285" s="87"/>
      <c r="E285" s="87"/>
      <c r="F285" s="87"/>
      <c r="G285" s="87"/>
      <c r="H285" s="87"/>
      <c r="I285" s="87"/>
      <c r="J285" s="87"/>
      <c r="K285" s="87"/>
      <c r="L285" s="87"/>
      <c r="M285" s="87"/>
      <c r="N285" s="87"/>
      <c r="O285" s="87"/>
      <c r="P285" s="87"/>
      <c r="Q285" s="87"/>
      <c r="R285" s="87"/>
      <c r="S285" s="87"/>
      <c r="T285" s="87"/>
      <c r="U285" s="87"/>
      <c r="V285" s="87"/>
      <c r="W285" s="87"/>
      <c r="X285" s="87"/>
      <c r="Y285" s="87"/>
      <c r="Z285" s="87"/>
      <c r="AA285" s="87"/>
      <c r="AB285" s="87"/>
      <c r="AC285" s="87"/>
      <c r="AD285" s="87"/>
      <c r="AE285" s="87"/>
      <c r="AF285" s="87"/>
      <c r="AG285" s="87"/>
      <c r="AH285" s="87"/>
      <c r="AI285" s="87"/>
      <c r="AJ285" s="87"/>
      <c r="AK285" s="87"/>
      <c r="AL285" s="87"/>
      <c r="AM285" s="87"/>
      <c r="AN285" s="87"/>
      <c r="AO285" s="87"/>
      <c r="AP285" s="87"/>
      <c r="AQ285" s="87"/>
      <c r="AR285" s="87"/>
      <c r="AS285" s="87"/>
    </row>
    <row r="286" spans="1:45">
      <c r="A286" s="87"/>
      <c r="B286" s="87"/>
      <c r="C286" s="87"/>
      <c r="D286" s="87"/>
      <c r="E286" s="87"/>
      <c r="F286" s="87"/>
      <c r="G286" s="87"/>
      <c r="H286" s="87"/>
      <c r="I286" s="87"/>
      <c r="J286" s="87"/>
      <c r="K286" s="87"/>
      <c r="L286" s="87"/>
      <c r="M286" s="87"/>
      <c r="N286" s="87"/>
      <c r="O286" s="87"/>
      <c r="P286" s="87"/>
      <c r="Q286" s="87"/>
      <c r="R286" s="87"/>
      <c r="S286" s="87"/>
      <c r="T286" s="87"/>
      <c r="U286" s="87"/>
      <c r="V286" s="87"/>
      <c r="W286" s="87"/>
      <c r="X286" s="87"/>
      <c r="Y286" s="87"/>
      <c r="Z286" s="87"/>
      <c r="AA286" s="87"/>
      <c r="AB286" s="87"/>
      <c r="AC286" s="87"/>
      <c r="AD286" s="87"/>
      <c r="AE286" s="87"/>
      <c r="AF286" s="87"/>
      <c r="AG286" s="87"/>
      <c r="AH286" s="87"/>
      <c r="AI286" s="87"/>
      <c r="AJ286" s="87"/>
      <c r="AK286" s="87"/>
      <c r="AL286" s="87"/>
      <c r="AM286" s="87"/>
      <c r="AN286" s="87"/>
      <c r="AO286" s="87"/>
      <c r="AP286" s="87"/>
      <c r="AQ286" s="87"/>
      <c r="AR286" s="87"/>
      <c r="AS286" s="87"/>
    </row>
    <row r="287" spans="1:45">
      <c r="A287" s="87"/>
      <c r="B287" s="87"/>
      <c r="C287" s="87"/>
      <c r="D287" s="87"/>
      <c r="E287" s="87"/>
      <c r="F287" s="87"/>
      <c r="G287" s="87"/>
      <c r="H287" s="87"/>
      <c r="I287" s="87"/>
      <c r="J287" s="87"/>
      <c r="K287" s="87"/>
      <c r="L287" s="87"/>
      <c r="M287" s="87"/>
      <c r="N287" s="87"/>
      <c r="O287" s="87"/>
      <c r="P287" s="87"/>
      <c r="Q287" s="87"/>
      <c r="R287" s="87"/>
      <c r="S287" s="87"/>
      <c r="T287" s="87"/>
      <c r="U287" s="87"/>
      <c r="V287" s="87"/>
      <c r="W287" s="87"/>
      <c r="X287" s="87"/>
      <c r="Y287" s="87"/>
      <c r="Z287" s="87"/>
      <c r="AA287" s="87"/>
      <c r="AB287" s="87"/>
      <c r="AC287" s="87"/>
      <c r="AD287" s="87"/>
      <c r="AE287" s="87"/>
      <c r="AF287" s="87"/>
      <c r="AG287" s="87"/>
      <c r="AH287" s="87"/>
      <c r="AI287" s="87"/>
      <c r="AJ287" s="87"/>
      <c r="AK287" s="87"/>
      <c r="AL287" s="87"/>
      <c r="AM287" s="87"/>
      <c r="AN287" s="87"/>
      <c r="AO287" s="87"/>
      <c r="AP287" s="87"/>
      <c r="AQ287" s="87"/>
      <c r="AR287" s="87"/>
      <c r="AS287" s="87"/>
    </row>
    <row r="288" spans="1:45">
      <c r="A288" s="87"/>
      <c r="B288" s="87"/>
      <c r="C288" s="87"/>
      <c r="D288" s="87"/>
      <c r="E288" s="87"/>
      <c r="F288" s="87"/>
      <c r="G288" s="87"/>
      <c r="H288" s="87"/>
      <c r="I288" s="87"/>
      <c r="J288" s="87"/>
      <c r="K288" s="87"/>
      <c r="L288" s="87"/>
      <c r="M288" s="87"/>
      <c r="N288" s="87"/>
      <c r="O288" s="87"/>
      <c r="P288" s="87"/>
      <c r="Q288" s="87"/>
      <c r="R288" s="87"/>
      <c r="S288" s="87"/>
      <c r="T288" s="87"/>
      <c r="U288" s="87"/>
      <c r="V288" s="87"/>
      <c r="W288" s="87"/>
      <c r="X288" s="87"/>
      <c r="Y288" s="87"/>
      <c r="Z288" s="87"/>
      <c r="AA288" s="87"/>
      <c r="AB288" s="87"/>
      <c r="AC288" s="87"/>
      <c r="AD288" s="87"/>
      <c r="AE288" s="87"/>
      <c r="AF288" s="87"/>
      <c r="AG288" s="87"/>
      <c r="AH288" s="87"/>
      <c r="AI288" s="87"/>
      <c r="AJ288" s="87"/>
      <c r="AK288" s="87"/>
      <c r="AL288" s="87"/>
      <c r="AM288" s="87"/>
      <c r="AN288" s="87"/>
      <c r="AO288" s="87"/>
      <c r="AP288" s="87"/>
      <c r="AQ288" s="87"/>
      <c r="AR288" s="87"/>
      <c r="AS288" s="87"/>
    </row>
    <row r="289" spans="1:45">
      <c r="A289" s="87"/>
      <c r="B289" s="87"/>
      <c r="C289" s="87"/>
      <c r="D289" s="87"/>
      <c r="E289" s="87"/>
      <c r="F289" s="87"/>
      <c r="G289" s="87"/>
      <c r="H289" s="87"/>
      <c r="I289" s="87"/>
      <c r="J289" s="87"/>
      <c r="K289" s="87"/>
      <c r="L289" s="87"/>
      <c r="M289" s="87"/>
      <c r="N289" s="87"/>
      <c r="O289" s="87"/>
      <c r="P289" s="87"/>
      <c r="Q289" s="87"/>
      <c r="R289" s="87"/>
      <c r="S289" s="87"/>
      <c r="T289" s="87"/>
      <c r="U289" s="87"/>
      <c r="V289" s="87"/>
      <c r="W289" s="87"/>
      <c r="X289" s="87"/>
      <c r="Y289" s="87"/>
      <c r="Z289" s="87"/>
      <c r="AA289" s="87"/>
      <c r="AB289" s="87"/>
      <c r="AC289" s="87"/>
      <c r="AD289" s="87"/>
      <c r="AE289" s="87"/>
      <c r="AF289" s="87"/>
      <c r="AG289" s="87"/>
      <c r="AH289" s="87"/>
      <c r="AI289" s="87"/>
      <c r="AJ289" s="87"/>
      <c r="AK289" s="87"/>
      <c r="AL289" s="87"/>
      <c r="AM289" s="87"/>
      <c r="AN289" s="87"/>
      <c r="AO289" s="87"/>
      <c r="AP289" s="87"/>
      <c r="AQ289" s="87"/>
      <c r="AR289" s="87"/>
      <c r="AS289" s="87"/>
    </row>
    <row r="290" spans="1:45">
      <c r="A290" s="87"/>
      <c r="B290" s="87"/>
      <c r="C290" s="87"/>
      <c r="D290" s="87"/>
      <c r="E290" s="87"/>
      <c r="F290" s="87"/>
      <c r="G290" s="87"/>
      <c r="H290" s="87"/>
      <c r="I290" s="87"/>
      <c r="J290" s="87"/>
      <c r="K290" s="87"/>
      <c r="L290" s="87"/>
      <c r="M290" s="87"/>
      <c r="N290" s="87"/>
      <c r="O290" s="87"/>
      <c r="P290" s="87"/>
      <c r="Q290" s="87"/>
      <c r="R290" s="87"/>
      <c r="S290" s="87"/>
      <c r="T290" s="87"/>
      <c r="U290" s="87"/>
      <c r="V290" s="87"/>
      <c r="W290" s="87"/>
      <c r="X290" s="87"/>
      <c r="Y290" s="87"/>
      <c r="Z290" s="87"/>
      <c r="AA290" s="87"/>
      <c r="AB290" s="87"/>
      <c r="AC290" s="87"/>
      <c r="AD290" s="87"/>
      <c r="AE290" s="87"/>
      <c r="AF290" s="87"/>
      <c r="AG290" s="87"/>
      <c r="AH290" s="87"/>
      <c r="AI290" s="87"/>
      <c r="AJ290" s="87"/>
      <c r="AK290" s="87"/>
      <c r="AL290" s="87"/>
      <c r="AM290" s="87"/>
      <c r="AN290" s="87"/>
      <c r="AO290" s="87"/>
      <c r="AP290" s="87"/>
      <c r="AQ290" s="87"/>
      <c r="AR290" s="87"/>
      <c r="AS290" s="87"/>
    </row>
    <row r="291" spans="1:45">
      <c r="A291" s="87"/>
      <c r="B291" s="87"/>
      <c r="C291" s="87"/>
      <c r="D291" s="87"/>
      <c r="E291" s="87"/>
      <c r="F291" s="87"/>
      <c r="G291" s="87"/>
      <c r="H291" s="87"/>
      <c r="I291" s="87"/>
      <c r="J291" s="87"/>
      <c r="K291" s="87"/>
      <c r="L291" s="87"/>
      <c r="M291" s="87"/>
      <c r="N291" s="87"/>
      <c r="O291" s="87"/>
      <c r="P291" s="87"/>
      <c r="Q291" s="87"/>
      <c r="R291" s="87"/>
      <c r="S291" s="87"/>
      <c r="T291" s="87"/>
      <c r="U291" s="87"/>
      <c r="V291" s="87"/>
      <c r="W291" s="87"/>
      <c r="X291" s="87"/>
      <c r="Y291" s="87"/>
      <c r="Z291" s="87"/>
      <c r="AA291" s="87"/>
      <c r="AB291" s="87"/>
      <c r="AC291" s="87"/>
      <c r="AD291" s="87"/>
      <c r="AE291" s="87"/>
      <c r="AF291" s="87"/>
      <c r="AG291" s="87"/>
      <c r="AH291" s="87"/>
      <c r="AI291" s="87"/>
      <c r="AJ291" s="87"/>
      <c r="AK291" s="87"/>
      <c r="AL291" s="87"/>
      <c r="AM291" s="87"/>
      <c r="AN291" s="87"/>
      <c r="AO291" s="87"/>
      <c r="AP291" s="87"/>
      <c r="AQ291" s="87"/>
      <c r="AR291" s="87"/>
      <c r="AS291" s="87"/>
    </row>
    <row r="292" spans="1:45">
      <c r="A292" s="87"/>
      <c r="B292" s="87"/>
      <c r="C292" s="87"/>
      <c r="D292" s="87"/>
      <c r="E292" s="87"/>
      <c r="F292" s="87"/>
      <c r="G292" s="87"/>
      <c r="H292" s="87"/>
      <c r="I292" s="87"/>
      <c r="J292" s="87"/>
      <c r="K292" s="87"/>
      <c r="L292" s="87"/>
      <c r="M292" s="87"/>
      <c r="N292" s="87"/>
      <c r="O292" s="87"/>
      <c r="P292" s="87"/>
      <c r="Q292" s="87"/>
      <c r="R292" s="87"/>
      <c r="S292" s="87"/>
      <c r="T292" s="87"/>
      <c r="U292" s="87"/>
      <c r="V292" s="87"/>
      <c r="W292" s="87"/>
      <c r="X292" s="87"/>
      <c r="Y292" s="87"/>
      <c r="Z292" s="87"/>
      <c r="AA292" s="87"/>
      <c r="AB292" s="87"/>
      <c r="AC292" s="87"/>
      <c r="AD292" s="87"/>
      <c r="AE292" s="87"/>
      <c r="AF292" s="87"/>
      <c r="AG292" s="87"/>
      <c r="AH292" s="87"/>
      <c r="AI292" s="87"/>
      <c r="AJ292" s="87"/>
      <c r="AK292" s="87"/>
      <c r="AL292" s="87"/>
      <c r="AM292" s="87"/>
      <c r="AN292" s="87"/>
      <c r="AO292" s="87"/>
      <c r="AP292" s="87"/>
      <c r="AQ292" s="87"/>
      <c r="AR292" s="87"/>
      <c r="AS292" s="87"/>
    </row>
    <row r="293" spans="1:45">
      <c r="A293" s="87"/>
      <c r="B293" s="87"/>
      <c r="C293" s="87"/>
      <c r="D293" s="87"/>
      <c r="E293" s="87"/>
      <c r="F293" s="87"/>
      <c r="G293" s="87"/>
      <c r="H293" s="87"/>
      <c r="I293" s="87"/>
      <c r="J293" s="87"/>
      <c r="K293" s="87"/>
      <c r="L293" s="87"/>
      <c r="M293" s="87"/>
      <c r="N293" s="87"/>
      <c r="O293" s="87"/>
      <c r="P293" s="87"/>
      <c r="Q293" s="87"/>
      <c r="R293" s="87"/>
      <c r="S293" s="87"/>
      <c r="T293" s="87"/>
      <c r="U293" s="87"/>
      <c r="V293" s="87"/>
      <c r="W293" s="87"/>
      <c r="X293" s="87"/>
      <c r="Y293" s="87"/>
      <c r="Z293" s="87"/>
      <c r="AA293" s="87"/>
      <c r="AB293" s="87"/>
      <c r="AC293" s="87"/>
      <c r="AD293" s="87"/>
      <c r="AE293" s="87"/>
      <c r="AF293" s="87"/>
      <c r="AG293" s="87"/>
      <c r="AH293" s="87"/>
      <c r="AI293" s="87"/>
      <c r="AJ293" s="87"/>
      <c r="AK293" s="87"/>
      <c r="AL293" s="87"/>
      <c r="AM293" s="87"/>
      <c r="AN293" s="87"/>
      <c r="AO293" s="87"/>
      <c r="AP293" s="87"/>
      <c r="AQ293" s="87"/>
      <c r="AR293" s="87"/>
      <c r="AS293" s="87"/>
    </row>
    <row r="294" spans="1:45">
      <c r="A294" s="87"/>
      <c r="B294" s="87"/>
      <c r="C294" s="87"/>
      <c r="D294" s="87"/>
      <c r="E294" s="87"/>
      <c r="F294" s="87"/>
      <c r="G294" s="87"/>
      <c r="H294" s="87"/>
      <c r="I294" s="87"/>
      <c r="J294" s="87"/>
      <c r="K294" s="87"/>
      <c r="L294" s="87"/>
      <c r="M294" s="87"/>
      <c r="N294" s="87"/>
      <c r="O294" s="87"/>
      <c r="P294" s="87"/>
      <c r="Q294" s="87"/>
      <c r="R294" s="87"/>
      <c r="S294" s="87"/>
      <c r="T294" s="87"/>
      <c r="U294" s="87"/>
      <c r="V294" s="87"/>
      <c r="W294" s="87"/>
      <c r="X294" s="87"/>
      <c r="Y294" s="87"/>
      <c r="Z294" s="87"/>
      <c r="AA294" s="87"/>
      <c r="AB294" s="87"/>
      <c r="AC294" s="87"/>
      <c r="AD294" s="87"/>
      <c r="AE294" s="87"/>
      <c r="AF294" s="87"/>
      <c r="AG294" s="87"/>
      <c r="AH294" s="87"/>
      <c r="AI294" s="87"/>
      <c r="AJ294" s="87"/>
      <c r="AK294" s="87"/>
      <c r="AL294" s="87"/>
      <c r="AM294" s="87"/>
      <c r="AN294" s="87"/>
      <c r="AO294" s="87"/>
      <c r="AP294" s="87"/>
      <c r="AQ294" s="87"/>
      <c r="AR294" s="87"/>
      <c r="AS294" s="87"/>
    </row>
    <row r="295" spans="1:45">
      <c r="A295" s="87"/>
      <c r="B295" s="87"/>
      <c r="C295" s="87"/>
      <c r="D295" s="87"/>
      <c r="E295" s="87"/>
      <c r="F295" s="87"/>
      <c r="G295" s="87"/>
      <c r="H295" s="87"/>
      <c r="I295" s="87"/>
      <c r="J295" s="87"/>
      <c r="K295" s="87"/>
      <c r="L295" s="87"/>
      <c r="M295" s="87"/>
      <c r="N295" s="87"/>
      <c r="O295" s="87"/>
      <c r="P295" s="87"/>
      <c r="Q295" s="87"/>
      <c r="R295" s="87"/>
      <c r="S295" s="87"/>
      <c r="T295" s="87"/>
      <c r="U295" s="87"/>
      <c r="V295" s="87"/>
      <c r="W295" s="87"/>
      <c r="X295" s="87"/>
      <c r="Y295" s="87"/>
      <c r="Z295" s="87"/>
      <c r="AA295" s="87"/>
      <c r="AB295" s="87"/>
      <c r="AC295" s="87"/>
      <c r="AD295" s="87"/>
      <c r="AE295" s="87"/>
      <c r="AF295" s="87"/>
      <c r="AG295" s="87"/>
      <c r="AH295" s="87"/>
      <c r="AI295" s="87"/>
      <c r="AJ295" s="87"/>
      <c r="AK295" s="87"/>
      <c r="AL295" s="87"/>
      <c r="AM295" s="87"/>
      <c r="AN295" s="87"/>
      <c r="AO295" s="87"/>
      <c r="AP295" s="87"/>
      <c r="AQ295" s="87"/>
      <c r="AR295" s="87"/>
      <c r="AS295" s="87"/>
    </row>
    <row r="296" spans="1:45">
      <c r="A296" s="87"/>
      <c r="B296" s="87"/>
      <c r="C296" s="87"/>
      <c r="D296" s="87"/>
      <c r="E296" s="87"/>
      <c r="F296" s="87"/>
      <c r="G296" s="87"/>
      <c r="H296" s="87"/>
      <c r="I296" s="87"/>
      <c r="J296" s="87"/>
      <c r="K296" s="87"/>
      <c r="L296" s="87"/>
      <c r="M296" s="87"/>
      <c r="N296" s="87"/>
      <c r="O296" s="87"/>
      <c r="P296" s="87"/>
      <c r="Q296" s="87"/>
      <c r="R296" s="87"/>
      <c r="S296" s="87"/>
      <c r="T296" s="87"/>
      <c r="U296" s="87"/>
      <c r="V296" s="87"/>
      <c r="W296" s="87"/>
      <c r="X296" s="87"/>
      <c r="Y296" s="87"/>
      <c r="Z296" s="87"/>
      <c r="AA296" s="87"/>
      <c r="AB296" s="87"/>
      <c r="AC296" s="87"/>
      <c r="AD296" s="87"/>
      <c r="AE296" s="87"/>
      <c r="AF296" s="87"/>
      <c r="AG296" s="87"/>
      <c r="AH296" s="87"/>
      <c r="AI296" s="87"/>
      <c r="AJ296" s="87"/>
      <c r="AK296" s="87"/>
      <c r="AL296" s="87"/>
      <c r="AM296" s="87"/>
      <c r="AN296" s="87"/>
      <c r="AO296" s="87"/>
      <c r="AP296" s="87"/>
      <c r="AQ296" s="87"/>
      <c r="AR296" s="87"/>
      <c r="AS296" s="87"/>
    </row>
    <row r="297" spans="1:45">
      <c r="A297" s="87"/>
      <c r="B297" s="87"/>
      <c r="C297" s="87"/>
      <c r="D297" s="87"/>
      <c r="E297" s="87"/>
      <c r="F297" s="87"/>
      <c r="G297" s="87"/>
      <c r="H297" s="87"/>
      <c r="I297" s="87"/>
      <c r="J297" s="87"/>
      <c r="K297" s="87"/>
      <c r="L297" s="87"/>
      <c r="M297" s="87"/>
      <c r="N297" s="87"/>
      <c r="O297" s="87"/>
      <c r="P297" s="87"/>
      <c r="Q297" s="87"/>
      <c r="R297" s="87"/>
      <c r="S297" s="87"/>
      <c r="T297" s="87"/>
      <c r="U297" s="87"/>
      <c r="V297" s="87"/>
      <c r="W297" s="87"/>
      <c r="X297" s="87"/>
      <c r="Y297" s="87"/>
      <c r="Z297" s="87"/>
      <c r="AA297" s="87"/>
      <c r="AB297" s="87"/>
      <c r="AC297" s="87"/>
      <c r="AD297" s="87"/>
      <c r="AE297" s="87"/>
      <c r="AF297" s="87"/>
      <c r="AG297" s="87"/>
      <c r="AH297" s="87"/>
      <c r="AI297" s="87"/>
      <c r="AJ297" s="87"/>
      <c r="AK297" s="87"/>
      <c r="AL297" s="87"/>
      <c r="AM297" s="87"/>
      <c r="AN297" s="87"/>
      <c r="AO297" s="87"/>
      <c r="AP297" s="87"/>
      <c r="AQ297" s="87"/>
      <c r="AR297" s="87"/>
      <c r="AS297" s="87"/>
    </row>
    <row r="298" spans="1:45">
      <c r="A298" s="87"/>
      <c r="B298" s="87"/>
      <c r="C298" s="87"/>
      <c r="D298" s="87"/>
      <c r="E298" s="87"/>
      <c r="F298" s="87"/>
      <c r="G298" s="87"/>
      <c r="H298" s="87"/>
      <c r="I298" s="87"/>
      <c r="J298" s="87"/>
      <c r="K298" s="87"/>
      <c r="L298" s="87"/>
      <c r="M298" s="87"/>
      <c r="N298" s="87"/>
      <c r="O298" s="87"/>
      <c r="P298" s="87"/>
      <c r="Q298" s="87"/>
      <c r="R298" s="87"/>
      <c r="S298" s="87"/>
      <c r="T298" s="87"/>
      <c r="U298" s="87"/>
      <c r="V298" s="87"/>
      <c r="W298" s="87"/>
      <c r="X298" s="87"/>
      <c r="Y298" s="87"/>
      <c r="Z298" s="87"/>
      <c r="AA298" s="87"/>
      <c r="AB298" s="87"/>
      <c r="AC298" s="87"/>
      <c r="AD298" s="87"/>
      <c r="AE298" s="87"/>
      <c r="AF298" s="87"/>
      <c r="AG298" s="87"/>
      <c r="AH298" s="87"/>
      <c r="AI298" s="87"/>
      <c r="AJ298" s="87"/>
      <c r="AK298" s="87"/>
      <c r="AL298" s="87"/>
      <c r="AM298" s="87"/>
      <c r="AN298" s="87"/>
      <c r="AO298" s="87"/>
      <c r="AP298" s="87"/>
      <c r="AQ298" s="87"/>
      <c r="AR298" s="87"/>
      <c r="AS298" s="87"/>
    </row>
    <row r="299" spans="1:45">
      <c r="A299" s="87"/>
      <c r="B299" s="87"/>
      <c r="C299" s="87"/>
      <c r="D299" s="87"/>
      <c r="E299" s="87"/>
      <c r="F299" s="87"/>
      <c r="G299" s="87"/>
      <c r="H299" s="87"/>
      <c r="I299" s="87"/>
      <c r="J299" s="87"/>
      <c r="K299" s="87"/>
      <c r="L299" s="87"/>
      <c r="M299" s="87"/>
      <c r="N299" s="87"/>
      <c r="O299" s="87"/>
      <c r="P299" s="87"/>
      <c r="Q299" s="87"/>
      <c r="R299" s="87"/>
      <c r="S299" s="87"/>
      <c r="T299" s="87"/>
      <c r="U299" s="87"/>
      <c r="V299" s="87"/>
      <c r="W299" s="87"/>
      <c r="X299" s="87"/>
      <c r="Y299" s="87"/>
      <c r="Z299" s="87"/>
      <c r="AA299" s="87"/>
      <c r="AB299" s="87"/>
      <c r="AC299" s="87"/>
      <c r="AD299" s="87"/>
      <c r="AE299" s="87"/>
      <c r="AF299" s="87"/>
      <c r="AG299" s="87"/>
      <c r="AH299" s="87"/>
      <c r="AI299" s="87"/>
      <c r="AJ299" s="87"/>
      <c r="AK299" s="87"/>
      <c r="AL299" s="87"/>
      <c r="AM299" s="87"/>
      <c r="AN299" s="87"/>
      <c r="AO299" s="87"/>
      <c r="AP299" s="87"/>
      <c r="AQ299" s="87"/>
      <c r="AR299" s="87"/>
      <c r="AS299" s="87"/>
    </row>
    <row r="300" spans="1:45">
      <c r="A300" s="87"/>
      <c r="B300" s="87"/>
      <c r="C300" s="87"/>
      <c r="D300" s="87"/>
      <c r="E300" s="87"/>
      <c r="F300" s="87"/>
      <c r="G300" s="87"/>
      <c r="H300" s="87"/>
      <c r="I300" s="87"/>
      <c r="J300" s="87"/>
      <c r="K300" s="87"/>
      <c r="L300" s="87"/>
      <c r="M300" s="87"/>
      <c r="N300" s="87"/>
      <c r="O300" s="87"/>
      <c r="P300" s="87"/>
      <c r="Q300" s="87"/>
      <c r="R300" s="87"/>
      <c r="S300" s="87"/>
      <c r="T300" s="87"/>
      <c r="U300" s="87"/>
      <c r="V300" s="87"/>
      <c r="W300" s="87"/>
      <c r="X300" s="87"/>
      <c r="Y300" s="87"/>
      <c r="Z300" s="87"/>
      <c r="AA300" s="87"/>
      <c r="AB300" s="87"/>
      <c r="AC300" s="87"/>
      <c r="AD300" s="87"/>
      <c r="AE300" s="87"/>
      <c r="AF300" s="87"/>
      <c r="AG300" s="87"/>
      <c r="AH300" s="87"/>
      <c r="AI300" s="87"/>
      <c r="AJ300" s="87"/>
      <c r="AK300" s="87"/>
      <c r="AL300" s="87"/>
      <c r="AM300" s="87"/>
      <c r="AN300" s="87"/>
      <c r="AO300" s="87"/>
      <c r="AP300" s="87"/>
      <c r="AQ300" s="87"/>
      <c r="AR300" s="87"/>
      <c r="AS300" s="87"/>
    </row>
    <row r="301" spans="1:45">
      <c r="A301" s="87"/>
      <c r="B301" s="87"/>
      <c r="C301" s="87"/>
      <c r="D301" s="87"/>
      <c r="E301" s="87"/>
      <c r="F301" s="87"/>
      <c r="G301" s="87"/>
      <c r="H301" s="87"/>
      <c r="I301" s="87"/>
      <c r="J301" s="87"/>
      <c r="K301" s="87"/>
      <c r="L301" s="87"/>
      <c r="M301" s="87"/>
      <c r="N301" s="87"/>
      <c r="O301" s="87"/>
      <c r="P301" s="87"/>
      <c r="Q301" s="87"/>
      <c r="R301" s="87"/>
      <c r="S301" s="87"/>
      <c r="T301" s="87"/>
      <c r="U301" s="87"/>
      <c r="V301" s="87"/>
      <c r="W301" s="87"/>
      <c r="X301" s="87"/>
      <c r="Y301" s="87"/>
      <c r="Z301" s="87"/>
      <c r="AA301" s="87"/>
      <c r="AB301" s="87"/>
      <c r="AC301" s="87"/>
      <c r="AD301" s="87"/>
      <c r="AE301" s="87"/>
      <c r="AF301" s="87"/>
      <c r="AG301" s="87"/>
      <c r="AH301" s="87"/>
      <c r="AI301" s="87"/>
      <c r="AJ301" s="87"/>
      <c r="AK301" s="87"/>
      <c r="AL301" s="87"/>
      <c r="AM301" s="87"/>
      <c r="AN301" s="87"/>
      <c r="AO301" s="87"/>
      <c r="AP301" s="87"/>
      <c r="AQ301" s="87"/>
      <c r="AR301" s="87"/>
      <c r="AS301" s="87"/>
    </row>
    <row r="302" spans="1:45">
      <c r="A302" s="87"/>
      <c r="B302" s="87"/>
      <c r="C302" s="87"/>
      <c r="D302" s="87"/>
      <c r="E302" s="87"/>
      <c r="F302" s="87"/>
      <c r="G302" s="87"/>
      <c r="H302" s="87"/>
      <c r="I302" s="87"/>
      <c r="J302" s="87"/>
      <c r="K302" s="87"/>
      <c r="L302" s="87"/>
      <c r="M302" s="87"/>
      <c r="N302" s="87"/>
      <c r="O302" s="87"/>
      <c r="P302" s="87"/>
      <c r="Q302" s="87"/>
      <c r="R302" s="87"/>
      <c r="S302" s="87"/>
      <c r="T302" s="87"/>
      <c r="U302" s="87"/>
      <c r="V302" s="87"/>
      <c r="W302" s="87"/>
      <c r="X302" s="87"/>
      <c r="Y302" s="87"/>
      <c r="Z302" s="87"/>
      <c r="AA302" s="87"/>
      <c r="AB302" s="87"/>
      <c r="AC302" s="87"/>
      <c r="AD302" s="87"/>
      <c r="AE302" s="87"/>
      <c r="AF302" s="87"/>
      <c r="AG302" s="87"/>
      <c r="AH302" s="87"/>
      <c r="AI302" s="87"/>
      <c r="AJ302" s="87"/>
      <c r="AK302" s="87"/>
      <c r="AL302" s="87"/>
      <c r="AM302" s="87"/>
      <c r="AN302" s="87"/>
      <c r="AO302" s="87"/>
      <c r="AP302" s="87"/>
      <c r="AQ302" s="87"/>
      <c r="AR302" s="87"/>
      <c r="AS302" s="87"/>
    </row>
    <row r="303" spans="1:45">
      <c r="A303" s="87"/>
      <c r="B303" s="87"/>
      <c r="C303" s="87"/>
      <c r="D303" s="87"/>
      <c r="E303" s="87"/>
      <c r="F303" s="87"/>
      <c r="G303" s="87"/>
      <c r="H303" s="87"/>
      <c r="I303" s="87"/>
      <c r="J303" s="87"/>
      <c r="K303" s="87"/>
      <c r="L303" s="87"/>
      <c r="M303" s="87"/>
      <c r="N303" s="87"/>
      <c r="O303" s="87"/>
      <c r="P303" s="87"/>
      <c r="Q303" s="87"/>
      <c r="R303" s="87"/>
      <c r="S303" s="87"/>
      <c r="T303" s="87"/>
      <c r="U303" s="87"/>
      <c r="V303" s="87"/>
      <c r="W303" s="87"/>
      <c r="X303" s="87"/>
      <c r="Y303" s="87"/>
      <c r="Z303" s="87"/>
      <c r="AA303" s="87"/>
      <c r="AB303" s="87"/>
      <c r="AC303" s="87"/>
      <c r="AD303" s="87"/>
      <c r="AE303" s="87"/>
      <c r="AF303" s="87"/>
      <c r="AG303" s="87"/>
      <c r="AH303" s="87"/>
      <c r="AI303" s="87"/>
      <c r="AJ303" s="87"/>
      <c r="AK303" s="87"/>
      <c r="AL303" s="87"/>
      <c r="AM303" s="87"/>
      <c r="AN303" s="87"/>
      <c r="AO303" s="87"/>
      <c r="AP303" s="87"/>
      <c r="AQ303" s="87"/>
      <c r="AR303" s="87"/>
      <c r="AS303" s="87"/>
    </row>
    <row r="304" spans="1:45">
      <c r="A304" s="87"/>
      <c r="B304" s="87"/>
      <c r="C304" s="87"/>
      <c r="D304" s="87"/>
      <c r="E304" s="87"/>
      <c r="F304" s="87"/>
      <c r="G304" s="87"/>
      <c r="H304" s="87"/>
      <c r="I304" s="87"/>
      <c r="J304" s="87"/>
      <c r="K304" s="87"/>
      <c r="L304" s="87"/>
      <c r="M304" s="87"/>
      <c r="N304" s="87"/>
      <c r="O304" s="87"/>
      <c r="P304" s="87"/>
      <c r="Q304" s="87"/>
      <c r="R304" s="87"/>
      <c r="S304" s="87"/>
      <c r="T304" s="87"/>
      <c r="U304" s="87"/>
      <c r="V304" s="87"/>
      <c r="W304" s="87"/>
      <c r="X304" s="87"/>
      <c r="Y304" s="87"/>
      <c r="Z304" s="87"/>
      <c r="AA304" s="87"/>
      <c r="AB304" s="87"/>
      <c r="AC304" s="87"/>
      <c r="AD304" s="87"/>
      <c r="AE304" s="87"/>
      <c r="AF304" s="87"/>
      <c r="AG304" s="87"/>
      <c r="AH304" s="87"/>
      <c r="AI304" s="87"/>
      <c r="AJ304" s="87"/>
      <c r="AK304" s="87"/>
      <c r="AL304" s="87"/>
      <c r="AM304" s="87"/>
      <c r="AN304" s="87"/>
      <c r="AO304" s="87"/>
      <c r="AP304" s="87"/>
      <c r="AQ304" s="87"/>
      <c r="AR304" s="87"/>
      <c r="AS304" s="87"/>
    </row>
    <row r="305" spans="1:45">
      <c r="A305" s="87"/>
      <c r="B305" s="87"/>
      <c r="C305" s="87"/>
      <c r="D305" s="87"/>
      <c r="E305" s="87"/>
      <c r="F305" s="87"/>
      <c r="G305" s="87"/>
      <c r="H305" s="87"/>
      <c r="I305" s="87"/>
      <c r="J305" s="87"/>
      <c r="K305" s="87"/>
      <c r="L305" s="87"/>
      <c r="M305" s="87"/>
      <c r="N305" s="87"/>
      <c r="O305" s="87"/>
      <c r="P305" s="87"/>
      <c r="Q305" s="87"/>
      <c r="R305" s="87"/>
      <c r="S305" s="87"/>
      <c r="T305" s="87"/>
      <c r="U305" s="87"/>
      <c r="V305" s="87"/>
      <c r="W305" s="87"/>
      <c r="X305" s="87"/>
      <c r="Y305" s="87"/>
      <c r="Z305" s="87"/>
      <c r="AA305" s="87"/>
      <c r="AB305" s="87"/>
      <c r="AC305" s="87"/>
      <c r="AD305" s="87"/>
      <c r="AE305" s="87"/>
      <c r="AF305" s="87"/>
      <c r="AG305" s="87"/>
      <c r="AH305" s="87"/>
      <c r="AI305" s="87"/>
      <c r="AJ305" s="87"/>
      <c r="AK305" s="87"/>
      <c r="AL305" s="87"/>
      <c r="AM305" s="87"/>
      <c r="AN305" s="87"/>
      <c r="AO305" s="87"/>
      <c r="AP305" s="87"/>
      <c r="AQ305" s="87"/>
      <c r="AR305" s="87"/>
      <c r="AS305" s="87"/>
    </row>
    <row r="306" spans="1:45">
      <c r="A306" s="87"/>
      <c r="B306" s="87"/>
      <c r="C306" s="87"/>
      <c r="D306" s="87"/>
      <c r="E306" s="87"/>
      <c r="F306" s="87"/>
      <c r="G306" s="87"/>
      <c r="H306" s="87"/>
      <c r="I306" s="87"/>
      <c r="J306" s="87"/>
      <c r="K306" s="87"/>
      <c r="L306" s="87"/>
      <c r="M306" s="87"/>
      <c r="N306" s="87"/>
      <c r="O306" s="87"/>
      <c r="P306" s="87"/>
      <c r="Q306" s="87"/>
      <c r="R306" s="87"/>
      <c r="S306" s="87"/>
      <c r="T306" s="87"/>
      <c r="U306" s="87"/>
      <c r="V306" s="87"/>
      <c r="W306" s="87"/>
      <c r="X306" s="87"/>
      <c r="Y306" s="87"/>
      <c r="Z306" s="87"/>
      <c r="AA306" s="87"/>
      <c r="AB306" s="87"/>
      <c r="AC306" s="87"/>
      <c r="AD306" s="87"/>
      <c r="AE306" s="87"/>
      <c r="AF306" s="87"/>
      <c r="AG306" s="87"/>
      <c r="AH306" s="87"/>
      <c r="AI306" s="87"/>
      <c r="AJ306" s="87"/>
      <c r="AK306" s="87"/>
      <c r="AL306" s="87"/>
      <c r="AM306" s="87"/>
      <c r="AN306" s="87"/>
      <c r="AO306" s="87"/>
      <c r="AP306" s="87"/>
      <c r="AQ306" s="87"/>
      <c r="AR306" s="87"/>
      <c r="AS306" s="87"/>
    </row>
    <row r="307" spans="1:45">
      <c r="A307" s="87"/>
      <c r="B307" s="87"/>
      <c r="C307" s="87"/>
      <c r="D307" s="87"/>
      <c r="E307" s="87"/>
      <c r="F307" s="87"/>
      <c r="G307" s="87"/>
      <c r="H307" s="87"/>
      <c r="I307" s="87"/>
      <c r="J307" s="87"/>
      <c r="K307" s="87"/>
      <c r="L307" s="87"/>
      <c r="M307" s="87"/>
      <c r="N307" s="87"/>
      <c r="O307" s="87"/>
      <c r="P307" s="87"/>
      <c r="Q307" s="87"/>
      <c r="R307" s="87"/>
      <c r="S307" s="87"/>
      <c r="T307" s="87"/>
      <c r="U307" s="87"/>
      <c r="V307" s="87"/>
      <c r="W307" s="87"/>
      <c r="X307" s="87"/>
      <c r="Y307" s="87"/>
      <c r="Z307" s="87"/>
      <c r="AA307" s="87"/>
      <c r="AB307" s="87"/>
      <c r="AC307" s="87"/>
      <c r="AD307" s="87"/>
      <c r="AE307" s="87"/>
      <c r="AF307" s="87"/>
      <c r="AG307" s="87"/>
      <c r="AH307" s="87"/>
      <c r="AI307" s="87"/>
      <c r="AJ307" s="87"/>
      <c r="AK307" s="87"/>
      <c r="AL307" s="87"/>
      <c r="AM307" s="87"/>
      <c r="AN307" s="87"/>
      <c r="AO307" s="87"/>
      <c r="AP307" s="87"/>
      <c r="AQ307" s="87"/>
      <c r="AR307" s="87"/>
      <c r="AS307" s="87"/>
    </row>
    <row r="308" spans="1:45">
      <c r="A308" s="87"/>
      <c r="B308" s="87"/>
      <c r="C308" s="87"/>
      <c r="D308" s="87"/>
      <c r="E308" s="87"/>
      <c r="F308" s="87"/>
      <c r="G308" s="87"/>
      <c r="H308" s="87"/>
      <c r="I308" s="87"/>
      <c r="J308" s="87"/>
      <c r="K308" s="87"/>
      <c r="L308" s="87"/>
      <c r="M308" s="87"/>
      <c r="N308" s="87"/>
      <c r="O308" s="87"/>
      <c r="P308" s="87"/>
      <c r="Q308" s="87"/>
      <c r="R308" s="87"/>
      <c r="S308" s="87"/>
      <c r="T308" s="87"/>
      <c r="U308" s="87"/>
      <c r="V308" s="87"/>
      <c r="W308" s="87"/>
      <c r="X308" s="87"/>
      <c r="Y308" s="87"/>
      <c r="Z308" s="87"/>
      <c r="AA308" s="87"/>
      <c r="AB308" s="87"/>
      <c r="AC308" s="87"/>
      <c r="AD308" s="87"/>
      <c r="AE308" s="87"/>
      <c r="AF308" s="87"/>
      <c r="AG308" s="87"/>
      <c r="AH308" s="87"/>
      <c r="AI308" s="87"/>
      <c r="AJ308" s="87"/>
      <c r="AK308" s="87"/>
      <c r="AL308" s="87"/>
      <c r="AM308" s="87"/>
      <c r="AN308" s="87"/>
      <c r="AO308" s="87"/>
      <c r="AP308" s="87"/>
      <c r="AQ308" s="87"/>
      <c r="AR308" s="87"/>
      <c r="AS308" s="87"/>
    </row>
    <row r="309" spans="1:45">
      <c r="A309" s="87"/>
      <c r="B309" s="87"/>
      <c r="C309" s="87"/>
      <c r="D309" s="87"/>
      <c r="E309" s="87"/>
      <c r="F309" s="87"/>
      <c r="G309" s="87"/>
      <c r="H309" s="87"/>
      <c r="I309" s="87"/>
      <c r="J309" s="87"/>
      <c r="K309" s="87"/>
      <c r="L309" s="87"/>
      <c r="M309" s="87"/>
      <c r="N309" s="87"/>
      <c r="O309" s="87"/>
      <c r="P309" s="87"/>
      <c r="Q309" s="87"/>
      <c r="R309" s="87"/>
      <c r="S309" s="87"/>
      <c r="T309" s="87"/>
      <c r="U309" s="87"/>
      <c r="V309" s="87"/>
      <c r="W309" s="87"/>
      <c r="X309" s="87"/>
      <c r="Y309" s="87"/>
      <c r="Z309" s="87"/>
      <c r="AA309" s="87"/>
      <c r="AB309" s="87"/>
      <c r="AC309" s="87"/>
      <c r="AD309" s="87"/>
      <c r="AE309" s="87"/>
      <c r="AF309" s="87"/>
      <c r="AG309" s="87"/>
      <c r="AH309" s="87"/>
      <c r="AI309" s="87"/>
      <c r="AJ309" s="87"/>
      <c r="AK309" s="87"/>
      <c r="AL309" s="87"/>
      <c r="AM309" s="87"/>
      <c r="AN309" s="87"/>
      <c r="AO309" s="87"/>
      <c r="AP309" s="87"/>
      <c r="AQ309" s="87"/>
      <c r="AR309" s="87"/>
      <c r="AS309" s="87"/>
    </row>
    <row r="310" spans="1:45">
      <c r="A310" s="87"/>
      <c r="B310" s="87"/>
      <c r="C310" s="87"/>
      <c r="D310" s="87"/>
      <c r="E310" s="87"/>
      <c r="F310" s="87"/>
      <c r="G310" s="87"/>
      <c r="H310" s="87"/>
      <c r="I310" s="87"/>
      <c r="J310" s="87"/>
      <c r="K310" s="87"/>
      <c r="L310" s="87"/>
      <c r="M310" s="87"/>
      <c r="N310" s="87"/>
      <c r="O310" s="87"/>
      <c r="P310" s="87"/>
      <c r="Q310" s="87"/>
      <c r="R310" s="87"/>
      <c r="S310" s="87"/>
      <c r="T310" s="87"/>
      <c r="U310" s="87"/>
      <c r="V310" s="87"/>
      <c r="W310" s="87"/>
      <c r="X310" s="87"/>
      <c r="Y310" s="87"/>
      <c r="Z310" s="87"/>
      <c r="AA310" s="87"/>
      <c r="AB310" s="87"/>
      <c r="AC310" s="87"/>
      <c r="AD310" s="87"/>
      <c r="AE310" s="87"/>
      <c r="AF310" s="87"/>
      <c r="AG310" s="87"/>
      <c r="AH310" s="87"/>
      <c r="AI310" s="87"/>
      <c r="AJ310" s="87"/>
      <c r="AK310" s="87"/>
      <c r="AL310" s="87"/>
      <c r="AM310" s="87"/>
      <c r="AN310" s="87"/>
      <c r="AO310" s="87"/>
      <c r="AP310" s="87"/>
      <c r="AQ310" s="87"/>
      <c r="AR310" s="87"/>
      <c r="AS310" s="87"/>
    </row>
    <row r="311" spans="1:45">
      <c r="A311" s="87"/>
      <c r="B311" s="87"/>
      <c r="C311" s="87"/>
      <c r="D311" s="87"/>
      <c r="E311" s="87"/>
      <c r="F311" s="87"/>
      <c r="G311" s="87"/>
      <c r="H311" s="87"/>
      <c r="I311" s="87"/>
      <c r="J311" s="87"/>
      <c r="K311" s="87"/>
      <c r="L311" s="87"/>
      <c r="M311" s="87"/>
      <c r="N311" s="87"/>
      <c r="O311" s="87"/>
      <c r="P311" s="87"/>
      <c r="Q311" s="87"/>
      <c r="R311" s="87"/>
      <c r="S311" s="87"/>
      <c r="T311" s="87"/>
      <c r="U311" s="87"/>
      <c r="V311" s="87"/>
      <c r="W311" s="87"/>
      <c r="X311" s="87"/>
      <c r="Y311" s="87"/>
      <c r="Z311" s="87"/>
      <c r="AA311" s="87"/>
      <c r="AB311" s="87"/>
      <c r="AC311" s="87"/>
      <c r="AD311" s="87"/>
      <c r="AE311" s="87"/>
      <c r="AF311" s="87"/>
      <c r="AG311" s="87"/>
      <c r="AH311" s="87"/>
      <c r="AI311" s="87"/>
      <c r="AJ311" s="87"/>
      <c r="AK311" s="87"/>
      <c r="AL311" s="87"/>
      <c r="AM311" s="87"/>
      <c r="AN311" s="87"/>
      <c r="AO311" s="87"/>
      <c r="AP311" s="87"/>
      <c r="AQ311" s="87"/>
      <c r="AR311" s="87"/>
      <c r="AS311" s="87"/>
    </row>
    <row r="312" spans="1:45">
      <c r="A312" s="87"/>
      <c r="B312" s="87"/>
      <c r="C312" s="87"/>
      <c r="D312" s="87"/>
      <c r="E312" s="87"/>
      <c r="F312" s="87"/>
      <c r="G312" s="87"/>
      <c r="H312" s="87"/>
      <c r="I312" s="87"/>
      <c r="J312" s="87"/>
      <c r="K312" s="87"/>
      <c r="L312" s="87"/>
      <c r="M312" s="87"/>
      <c r="N312" s="87"/>
      <c r="O312" s="87"/>
      <c r="P312" s="87"/>
      <c r="Q312" s="87"/>
      <c r="R312" s="87"/>
      <c r="S312" s="87"/>
      <c r="T312" s="87"/>
      <c r="U312" s="87"/>
      <c r="V312" s="87"/>
      <c r="W312" s="87"/>
      <c r="X312" s="87"/>
      <c r="Y312" s="87"/>
      <c r="Z312" s="87"/>
      <c r="AA312" s="87"/>
      <c r="AB312" s="87"/>
      <c r="AC312" s="87"/>
      <c r="AD312" s="87"/>
      <c r="AE312" s="87"/>
      <c r="AF312" s="87"/>
      <c r="AG312" s="87"/>
      <c r="AH312" s="87"/>
      <c r="AI312" s="87"/>
      <c r="AJ312" s="87"/>
      <c r="AK312" s="87"/>
      <c r="AL312" s="87"/>
      <c r="AM312" s="87"/>
      <c r="AN312" s="87"/>
      <c r="AO312" s="87"/>
      <c r="AP312" s="87"/>
      <c r="AQ312" s="87"/>
      <c r="AR312" s="87"/>
      <c r="AS312" s="87"/>
    </row>
    <row r="313" spans="1:45">
      <c r="A313" s="87"/>
      <c r="B313" s="87"/>
      <c r="C313" s="87"/>
      <c r="D313" s="87"/>
      <c r="E313" s="87"/>
      <c r="F313" s="87"/>
      <c r="G313" s="87"/>
      <c r="H313" s="87"/>
      <c r="I313" s="87"/>
      <c r="J313" s="87"/>
      <c r="K313" s="87"/>
      <c r="L313" s="87"/>
      <c r="M313" s="87"/>
      <c r="N313" s="87"/>
      <c r="O313" s="87"/>
      <c r="P313" s="87"/>
      <c r="Q313" s="87"/>
      <c r="R313" s="87"/>
      <c r="S313" s="87"/>
      <c r="T313" s="87"/>
      <c r="U313" s="87"/>
      <c r="V313" s="87"/>
      <c r="W313" s="87"/>
      <c r="X313" s="87"/>
      <c r="Y313" s="87"/>
      <c r="Z313" s="87"/>
      <c r="AA313" s="87"/>
      <c r="AB313" s="87"/>
      <c r="AC313" s="87"/>
      <c r="AD313" s="87"/>
      <c r="AE313" s="87"/>
      <c r="AF313" s="87"/>
      <c r="AG313" s="87"/>
      <c r="AH313" s="87"/>
      <c r="AI313" s="87"/>
      <c r="AJ313" s="87"/>
      <c r="AK313" s="87"/>
      <c r="AL313" s="87"/>
      <c r="AM313" s="87"/>
      <c r="AN313" s="87"/>
      <c r="AO313" s="87"/>
      <c r="AP313" s="87"/>
      <c r="AQ313" s="87"/>
      <c r="AR313" s="87"/>
      <c r="AS313" s="87"/>
    </row>
    <row r="314" spans="1:45">
      <c r="A314" s="87"/>
      <c r="B314" s="87"/>
      <c r="C314" s="87"/>
      <c r="D314" s="87"/>
      <c r="E314" s="87"/>
      <c r="F314" s="87"/>
      <c r="G314" s="87"/>
      <c r="H314" s="87"/>
      <c r="I314" s="87"/>
      <c r="J314" s="87"/>
      <c r="K314" s="87"/>
      <c r="L314" s="87"/>
      <c r="M314" s="87"/>
      <c r="N314" s="87"/>
      <c r="O314" s="87"/>
      <c r="P314" s="87"/>
      <c r="Q314" s="87"/>
      <c r="R314" s="87"/>
      <c r="S314" s="87"/>
      <c r="T314" s="87"/>
      <c r="U314" s="87"/>
      <c r="V314" s="87"/>
      <c r="W314" s="87"/>
      <c r="X314" s="87"/>
      <c r="Y314" s="87"/>
      <c r="Z314" s="87"/>
      <c r="AA314" s="87"/>
      <c r="AB314" s="87"/>
      <c r="AC314" s="87"/>
      <c r="AD314" s="87"/>
      <c r="AE314" s="87"/>
      <c r="AF314" s="87"/>
      <c r="AG314" s="87"/>
      <c r="AH314" s="87"/>
      <c r="AI314" s="87"/>
      <c r="AJ314" s="87"/>
      <c r="AK314" s="87"/>
      <c r="AL314" s="87"/>
      <c r="AM314" s="87"/>
      <c r="AN314" s="87"/>
      <c r="AO314" s="87"/>
      <c r="AP314" s="87"/>
      <c r="AQ314" s="87"/>
      <c r="AR314" s="87"/>
      <c r="AS314" s="87"/>
    </row>
    <row r="315" spans="1:45">
      <c r="A315" s="87"/>
      <c r="B315" s="87"/>
      <c r="C315" s="87"/>
      <c r="D315" s="87"/>
      <c r="E315" s="87"/>
      <c r="F315" s="87"/>
      <c r="G315" s="87"/>
      <c r="H315" s="87"/>
      <c r="I315" s="87"/>
      <c r="J315" s="87"/>
      <c r="K315" s="87"/>
      <c r="L315" s="87"/>
      <c r="M315" s="87"/>
      <c r="N315" s="87"/>
      <c r="O315" s="87"/>
      <c r="P315" s="87"/>
      <c r="Q315" s="87"/>
      <c r="R315" s="87"/>
      <c r="S315" s="87"/>
      <c r="T315" s="87"/>
      <c r="U315" s="87"/>
      <c r="V315" s="87"/>
      <c r="W315" s="87"/>
      <c r="X315" s="87"/>
      <c r="Y315" s="87"/>
      <c r="Z315" s="87"/>
      <c r="AA315" s="87"/>
      <c r="AB315" s="87"/>
      <c r="AC315" s="87"/>
      <c r="AD315" s="87"/>
      <c r="AE315" s="87"/>
      <c r="AF315" s="87"/>
      <c r="AG315" s="87"/>
      <c r="AH315" s="87"/>
      <c r="AI315" s="87"/>
      <c r="AJ315" s="87"/>
      <c r="AK315" s="87"/>
      <c r="AL315" s="87"/>
      <c r="AM315" s="87"/>
      <c r="AN315" s="87"/>
      <c r="AO315" s="87"/>
      <c r="AP315" s="87"/>
      <c r="AQ315" s="87"/>
      <c r="AR315" s="87"/>
      <c r="AS315" s="87"/>
    </row>
    <row r="316" spans="1:45">
      <c r="A316" s="87"/>
      <c r="B316" s="87"/>
      <c r="C316" s="87"/>
      <c r="D316" s="87"/>
      <c r="E316" s="87"/>
      <c r="F316" s="87"/>
      <c r="G316" s="87"/>
      <c r="H316" s="87"/>
      <c r="I316" s="87"/>
      <c r="J316" s="87"/>
      <c r="K316" s="87"/>
      <c r="L316" s="87"/>
      <c r="M316" s="87"/>
      <c r="N316" s="87"/>
      <c r="O316" s="87"/>
      <c r="P316" s="87"/>
      <c r="Q316" s="87"/>
      <c r="R316" s="87"/>
      <c r="S316" s="87"/>
      <c r="T316" s="87"/>
      <c r="U316" s="87"/>
      <c r="V316" s="87"/>
      <c r="W316" s="87"/>
      <c r="X316" s="87"/>
      <c r="Y316" s="87"/>
      <c r="Z316" s="87"/>
      <c r="AA316" s="87"/>
      <c r="AB316" s="87"/>
      <c r="AC316" s="87"/>
      <c r="AD316" s="87"/>
      <c r="AE316" s="87"/>
      <c r="AF316" s="87"/>
      <c r="AG316" s="87"/>
      <c r="AH316" s="87"/>
      <c r="AI316" s="87"/>
      <c r="AJ316" s="87"/>
      <c r="AK316" s="87"/>
      <c r="AL316" s="87"/>
      <c r="AM316" s="87"/>
      <c r="AN316" s="87"/>
      <c r="AO316" s="87"/>
      <c r="AP316" s="87"/>
      <c r="AQ316" s="87"/>
      <c r="AR316" s="87"/>
      <c r="AS316" s="87"/>
    </row>
    <row r="317" spans="1:45">
      <c r="A317" s="87"/>
      <c r="B317" s="87"/>
      <c r="C317" s="87"/>
      <c r="D317" s="87"/>
      <c r="E317" s="87"/>
      <c r="F317" s="87"/>
      <c r="G317" s="87"/>
      <c r="H317" s="87"/>
      <c r="I317" s="87"/>
      <c r="J317" s="87"/>
      <c r="K317" s="87"/>
      <c r="L317" s="87"/>
      <c r="M317" s="87"/>
      <c r="N317" s="87"/>
      <c r="O317" s="87"/>
      <c r="P317" s="87"/>
      <c r="Q317" s="87"/>
      <c r="R317" s="87"/>
      <c r="S317" s="87"/>
      <c r="T317" s="87"/>
      <c r="U317" s="87"/>
      <c r="V317" s="87"/>
      <c r="W317" s="87"/>
      <c r="X317" s="87"/>
      <c r="Y317" s="87"/>
      <c r="Z317" s="87"/>
      <c r="AA317" s="87"/>
      <c r="AB317" s="87"/>
      <c r="AC317" s="87"/>
      <c r="AD317" s="87"/>
      <c r="AE317" s="87"/>
      <c r="AF317" s="87"/>
      <c r="AG317" s="87"/>
      <c r="AH317" s="87"/>
      <c r="AI317" s="87"/>
      <c r="AJ317" s="87"/>
      <c r="AK317" s="87"/>
      <c r="AL317" s="87"/>
      <c r="AM317" s="87"/>
      <c r="AN317" s="87"/>
      <c r="AO317" s="87"/>
      <c r="AP317" s="87"/>
      <c r="AQ317" s="87"/>
      <c r="AR317" s="87"/>
      <c r="AS317" s="87"/>
    </row>
    <row r="318" spans="1:45">
      <c r="A318" s="87"/>
      <c r="B318" s="87"/>
      <c r="C318" s="87"/>
      <c r="D318" s="87"/>
      <c r="E318" s="87"/>
      <c r="F318" s="87"/>
      <c r="G318" s="87"/>
      <c r="H318" s="87"/>
      <c r="I318" s="87"/>
      <c r="J318" s="87"/>
      <c r="K318" s="87"/>
      <c r="L318" s="87"/>
      <c r="M318" s="87"/>
      <c r="N318" s="87"/>
      <c r="O318" s="87"/>
      <c r="P318" s="87"/>
      <c r="Q318" s="87"/>
      <c r="R318" s="87"/>
      <c r="S318" s="87"/>
      <c r="T318" s="87"/>
      <c r="U318" s="87"/>
      <c r="V318" s="87"/>
      <c r="W318" s="87"/>
      <c r="X318" s="87"/>
      <c r="Y318" s="87"/>
      <c r="Z318" s="87"/>
      <c r="AA318" s="87"/>
      <c r="AB318" s="87"/>
      <c r="AC318" s="87"/>
      <c r="AD318" s="87"/>
      <c r="AE318" s="87"/>
      <c r="AF318" s="87"/>
      <c r="AG318" s="87"/>
      <c r="AH318" s="87"/>
      <c r="AI318" s="87"/>
      <c r="AJ318" s="87"/>
      <c r="AK318" s="87"/>
      <c r="AL318" s="87"/>
      <c r="AM318" s="87"/>
      <c r="AN318" s="87"/>
      <c r="AO318" s="87"/>
      <c r="AP318" s="87"/>
      <c r="AQ318" s="87"/>
      <c r="AR318" s="87"/>
      <c r="AS318" s="87"/>
    </row>
    <row r="319" spans="1:45">
      <c r="A319" s="87"/>
      <c r="B319" s="87"/>
      <c r="C319" s="87"/>
      <c r="D319" s="87"/>
      <c r="E319" s="87"/>
      <c r="F319" s="87"/>
      <c r="G319" s="87"/>
      <c r="H319" s="87"/>
      <c r="I319" s="87"/>
      <c r="J319" s="87"/>
      <c r="K319" s="87"/>
      <c r="L319" s="87"/>
      <c r="M319" s="87"/>
      <c r="N319" s="87"/>
      <c r="O319" s="87"/>
      <c r="P319" s="87"/>
      <c r="Q319" s="87"/>
      <c r="R319" s="87"/>
      <c r="S319" s="87"/>
      <c r="T319" s="87"/>
      <c r="U319" s="87"/>
      <c r="V319" s="87"/>
      <c r="W319" s="87"/>
      <c r="X319" s="87"/>
      <c r="Y319" s="87"/>
      <c r="Z319" s="87"/>
      <c r="AA319" s="87"/>
      <c r="AB319" s="87"/>
      <c r="AC319" s="87"/>
      <c r="AD319" s="87"/>
      <c r="AE319" s="87"/>
      <c r="AF319" s="87"/>
      <c r="AG319" s="87"/>
      <c r="AH319" s="87"/>
      <c r="AI319" s="87"/>
      <c r="AJ319" s="87"/>
      <c r="AK319" s="87"/>
      <c r="AL319" s="87"/>
      <c r="AM319" s="87"/>
      <c r="AN319" s="87"/>
      <c r="AO319" s="87"/>
      <c r="AP319" s="87"/>
      <c r="AQ319" s="87"/>
      <c r="AR319" s="87"/>
      <c r="AS319" s="87"/>
    </row>
    <row r="320" spans="1:45">
      <c r="A320" s="87"/>
      <c r="B320" s="87"/>
      <c r="C320" s="87"/>
      <c r="D320" s="87"/>
      <c r="E320" s="87"/>
      <c r="F320" s="87"/>
      <c r="G320" s="87"/>
      <c r="H320" s="87"/>
      <c r="I320" s="87"/>
      <c r="J320" s="87"/>
      <c r="K320" s="87"/>
      <c r="L320" s="87"/>
      <c r="M320" s="87"/>
      <c r="N320" s="87"/>
      <c r="O320" s="87"/>
      <c r="P320" s="87"/>
      <c r="Q320" s="87"/>
      <c r="R320" s="87"/>
      <c r="S320" s="87"/>
      <c r="T320" s="87"/>
      <c r="U320" s="87"/>
      <c r="V320" s="87"/>
      <c r="W320" s="87"/>
      <c r="X320" s="87"/>
      <c r="Y320" s="87"/>
      <c r="Z320" s="87"/>
      <c r="AA320" s="87"/>
      <c r="AB320" s="87"/>
      <c r="AC320" s="87"/>
      <c r="AD320" s="87"/>
      <c r="AE320" s="87"/>
      <c r="AF320" s="87"/>
      <c r="AG320" s="87"/>
      <c r="AH320" s="87"/>
      <c r="AI320" s="87"/>
      <c r="AJ320" s="87"/>
      <c r="AK320" s="87"/>
      <c r="AL320" s="87"/>
      <c r="AM320" s="87"/>
      <c r="AN320" s="87"/>
      <c r="AO320" s="87"/>
      <c r="AP320" s="87"/>
      <c r="AQ320" s="87"/>
      <c r="AR320" s="87"/>
      <c r="AS320" s="87"/>
    </row>
    <row r="321" spans="1:45">
      <c r="A321" s="87"/>
      <c r="B321" s="87"/>
      <c r="C321" s="87"/>
      <c r="D321" s="87"/>
      <c r="E321" s="87"/>
      <c r="F321" s="87"/>
      <c r="G321" s="87"/>
      <c r="H321" s="87"/>
      <c r="I321" s="87"/>
      <c r="J321" s="87"/>
      <c r="K321" s="87"/>
      <c r="L321" s="87"/>
      <c r="M321" s="87"/>
      <c r="N321" s="87"/>
      <c r="O321" s="87"/>
      <c r="P321" s="87"/>
      <c r="Q321" s="87"/>
      <c r="R321" s="87"/>
      <c r="S321" s="87"/>
      <c r="T321" s="87"/>
      <c r="U321" s="87"/>
      <c r="V321" s="87"/>
      <c r="W321" s="87"/>
      <c r="X321" s="87"/>
      <c r="Y321" s="87"/>
      <c r="Z321" s="87"/>
      <c r="AA321" s="87"/>
      <c r="AB321" s="87"/>
      <c r="AC321" s="87"/>
      <c r="AD321" s="87"/>
      <c r="AE321" s="87"/>
      <c r="AF321" s="87"/>
      <c r="AG321" s="87"/>
      <c r="AH321" s="87"/>
      <c r="AI321" s="87"/>
      <c r="AJ321" s="87"/>
      <c r="AK321" s="87"/>
      <c r="AL321" s="87"/>
      <c r="AM321" s="87"/>
      <c r="AN321" s="87"/>
      <c r="AO321" s="87"/>
      <c r="AP321" s="87"/>
      <c r="AQ321" s="87"/>
      <c r="AR321" s="87"/>
      <c r="AS321" s="87"/>
    </row>
    <row r="322" spans="1:45">
      <c r="A322" s="87"/>
      <c r="B322" s="87"/>
      <c r="C322" s="87"/>
      <c r="D322" s="87"/>
      <c r="E322" s="87"/>
      <c r="F322" s="87"/>
      <c r="G322" s="87"/>
      <c r="H322" s="87"/>
      <c r="I322" s="87"/>
      <c r="J322" s="87"/>
      <c r="K322" s="87"/>
      <c r="L322" s="87"/>
      <c r="M322" s="87"/>
      <c r="N322" s="87"/>
      <c r="O322" s="87"/>
      <c r="P322" s="87"/>
      <c r="Q322" s="87"/>
      <c r="R322" s="87"/>
      <c r="S322" s="87"/>
      <c r="T322" s="87"/>
      <c r="U322" s="87"/>
      <c r="V322" s="87"/>
      <c r="W322" s="87"/>
      <c r="X322" s="87"/>
      <c r="Y322" s="87"/>
      <c r="Z322" s="87"/>
      <c r="AA322" s="87"/>
      <c r="AB322" s="87"/>
      <c r="AC322" s="87"/>
      <c r="AD322" s="87"/>
      <c r="AE322" s="87"/>
      <c r="AF322" s="87"/>
      <c r="AG322" s="87"/>
      <c r="AH322" s="87"/>
      <c r="AI322" s="87"/>
      <c r="AJ322" s="87"/>
      <c r="AK322" s="87"/>
      <c r="AL322" s="87"/>
      <c r="AM322" s="87"/>
      <c r="AN322" s="87"/>
      <c r="AO322" s="87"/>
      <c r="AP322" s="87"/>
      <c r="AQ322" s="87"/>
      <c r="AR322" s="87"/>
      <c r="AS322" s="87"/>
    </row>
    <row r="323" spans="1:45">
      <c r="A323" s="87"/>
      <c r="B323" s="87"/>
      <c r="C323" s="87"/>
      <c r="D323" s="87"/>
      <c r="E323" s="87"/>
      <c r="F323" s="87"/>
      <c r="G323" s="87"/>
      <c r="H323" s="87"/>
      <c r="I323" s="87"/>
      <c r="J323" s="87"/>
      <c r="K323" s="87"/>
      <c r="L323" s="87"/>
      <c r="M323" s="87"/>
      <c r="N323" s="87"/>
      <c r="O323" s="87"/>
      <c r="P323" s="87"/>
      <c r="Q323" s="87"/>
      <c r="R323" s="87"/>
      <c r="S323" s="87"/>
      <c r="T323" s="87"/>
      <c r="U323" s="87"/>
      <c r="V323" s="87"/>
      <c r="W323" s="87"/>
      <c r="X323" s="87"/>
      <c r="Y323" s="87"/>
      <c r="Z323" s="87"/>
      <c r="AA323" s="87"/>
      <c r="AB323" s="87"/>
      <c r="AC323" s="87"/>
      <c r="AD323" s="87"/>
      <c r="AE323" s="87"/>
      <c r="AF323" s="87"/>
      <c r="AG323" s="87"/>
      <c r="AH323" s="87"/>
      <c r="AI323" s="87"/>
      <c r="AJ323" s="87"/>
      <c r="AK323" s="87"/>
      <c r="AL323" s="87"/>
      <c r="AM323" s="87"/>
      <c r="AN323" s="87"/>
      <c r="AO323" s="87"/>
      <c r="AP323" s="87"/>
      <c r="AQ323" s="87"/>
      <c r="AR323" s="87"/>
      <c r="AS323" s="87"/>
    </row>
    <row r="324" spans="1:45">
      <c r="A324" s="87"/>
      <c r="B324" s="87"/>
      <c r="C324" s="87"/>
      <c r="D324" s="87"/>
      <c r="E324" s="87"/>
      <c r="F324" s="87"/>
      <c r="G324" s="87"/>
      <c r="H324" s="87"/>
      <c r="I324" s="87"/>
      <c r="J324" s="87"/>
      <c r="K324" s="87"/>
      <c r="L324" s="87"/>
      <c r="M324" s="87"/>
      <c r="N324" s="87"/>
      <c r="O324" s="87"/>
      <c r="P324" s="87"/>
      <c r="Q324" s="87"/>
      <c r="R324" s="87"/>
      <c r="S324" s="87"/>
      <c r="T324" s="87"/>
      <c r="U324" s="87"/>
      <c r="V324" s="87"/>
      <c r="W324" s="87"/>
      <c r="X324" s="87"/>
      <c r="Y324" s="87"/>
      <c r="Z324" s="87"/>
      <c r="AA324" s="87"/>
      <c r="AB324" s="87"/>
      <c r="AC324" s="87"/>
      <c r="AD324" s="87"/>
      <c r="AE324" s="87"/>
      <c r="AF324" s="87"/>
      <c r="AG324" s="87"/>
      <c r="AH324" s="87"/>
      <c r="AI324" s="87"/>
      <c r="AJ324" s="87"/>
      <c r="AK324" s="87"/>
      <c r="AL324" s="87"/>
      <c r="AM324" s="87"/>
      <c r="AN324" s="87"/>
      <c r="AO324" s="87"/>
      <c r="AP324" s="87"/>
      <c r="AQ324" s="87"/>
      <c r="AR324" s="87"/>
      <c r="AS324" s="87"/>
    </row>
    <row r="325" spans="1:45">
      <c r="A325" s="87"/>
      <c r="B325" s="87"/>
      <c r="C325" s="87"/>
      <c r="D325" s="87"/>
      <c r="E325" s="87"/>
      <c r="F325" s="87"/>
      <c r="G325" s="87"/>
      <c r="H325" s="87"/>
      <c r="I325" s="87"/>
      <c r="J325" s="87"/>
      <c r="K325" s="87"/>
      <c r="L325" s="87"/>
      <c r="M325" s="87"/>
      <c r="N325" s="87"/>
      <c r="O325" s="87"/>
      <c r="P325" s="87"/>
      <c r="Q325" s="87"/>
      <c r="R325" s="87"/>
      <c r="S325" s="87"/>
      <c r="T325" s="87"/>
      <c r="U325" s="87"/>
      <c r="V325" s="87"/>
      <c r="W325" s="87"/>
      <c r="X325" s="87"/>
      <c r="Y325" s="87"/>
      <c r="Z325" s="87"/>
      <c r="AA325" s="87"/>
      <c r="AB325" s="87"/>
      <c r="AC325" s="87"/>
      <c r="AD325" s="87"/>
      <c r="AE325" s="87"/>
      <c r="AF325" s="87"/>
      <c r="AG325" s="87"/>
      <c r="AH325" s="87"/>
      <c r="AI325" s="87"/>
      <c r="AJ325" s="87"/>
      <c r="AK325" s="87"/>
      <c r="AL325" s="87"/>
      <c r="AM325" s="87"/>
      <c r="AN325" s="87"/>
      <c r="AO325" s="87"/>
      <c r="AP325" s="87"/>
      <c r="AQ325" s="87"/>
      <c r="AR325" s="87"/>
      <c r="AS325" s="87"/>
    </row>
    <row r="326" spans="1:45">
      <c r="A326" s="87"/>
      <c r="B326" s="87"/>
      <c r="C326" s="87"/>
      <c r="D326" s="87"/>
      <c r="E326" s="87"/>
      <c r="F326" s="87"/>
      <c r="G326" s="87"/>
      <c r="H326" s="87"/>
      <c r="I326" s="87"/>
      <c r="J326" s="87"/>
      <c r="K326" s="87"/>
      <c r="L326" s="87"/>
      <c r="M326" s="87"/>
      <c r="N326" s="87"/>
      <c r="O326" s="87"/>
      <c r="P326" s="87"/>
      <c r="Q326" s="87"/>
      <c r="R326" s="87"/>
      <c r="S326" s="87"/>
      <c r="T326" s="87"/>
      <c r="U326" s="87"/>
      <c r="V326" s="87"/>
      <c r="W326" s="87"/>
      <c r="X326" s="87"/>
      <c r="Y326" s="87"/>
      <c r="Z326" s="87"/>
      <c r="AA326" s="87"/>
      <c r="AB326" s="87"/>
      <c r="AC326" s="87"/>
      <c r="AD326" s="87"/>
      <c r="AE326" s="87"/>
      <c r="AF326" s="87"/>
      <c r="AG326" s="87"/>
      <c r="AH326" s="87"/>
      <c r="AI326" s="87"/>
      <c r="AJ326" s="87"/>
      <c r="AK326" s="87"/>
      <c r="AL326" s="87"/>
      <c r="AM326" s="87"/>
      <c r="AN326" s="87"/>
      <c r="AO326" s="87"/>
      <c r="AP326" s="87"/>
      <c r="AQ326" s="87"/>
      <c r="AR326" s="87"/>
      <c r="AS326" s="87"/>
    </row>
    <row r="327" spans="1:45">
      <c r="A327" s="87"/>
      <c r="B327" s="87"/>
      <c r="C327" s="87"/>
      <c r="D327" s="87"/>
      <c r="E327" s="87"/>
      <c r="F327" s="87"/>
      <c r="G327" s="87"/>
      <c r="H327" s="87"/>
      <c r="I327" s="87"/>
      <c r="J327" s="87"/>
      <c r="K327" s="87"/>
      <c r="L327" s="87"/>
      <c r="M327" s="87"/>
      <c r="N327" s="87"/>
      <c r="O327" s="87"/>
      <c r="P327" s="87"/>
      <c r="Q327" s="87"/>
      <c r="R327" s="87"/>
      <c r="S327" s="87"/>
      <c r="T327" s="87"/>
      <c r="U327" s="87"/>
      <c r="V327" s="87"/>
      <c r="W327" s="87"/>
      <c r="X327" s="87"/>
      <c r="Y327" s="87"/>
      <c r="Z327" s="87"/>
      <c r="AA327" s="87"/>
      <c r="AB327" s="87"/>
      <c r="AC327" s="87"/>
      <c r="AD327" s="87"/>
      <c r="AE327" s="87"/>
      <c r="AF327" s="87"/>
      <c r="AG327" s="87"/>
      <c r="AH327" s="87"/>
      <c r="AI327" s="87"/>
      <c r="AJ327" s="87"/>
      <c r="AK327" s="87"/>
      <c r="AL327" s="87"/>
      <c r="AM327" s="87"/>
      <c r="AN327" s="87"/>
      <c r="AO327" s="87"/>
      <c r="AP327" s="87"/>
      <c r="AQ327" s="87"/>
      <c r="AR327" s="87"/>
      <c r="AS327" s="87"/>
    </row>
    <row r="328" spans="1:45">
      <c r="A328" s="87"/>
      <c r="B328" s="87"/>
      <c r="C328" s="87"/>
      <c r="D328" s="87"/>
      <c r="E328" s="87"/>
      <c r="F328" s="87"/>
      <c r="G328" s="87"/>
      <c r="H328" s="87"/>
      <c r="I328" s="87"/>
      <c r="J328" s="87"/>
      <c r="K328" s="87"/>
      <c r="L328" s="87"/>
      <c r="M328" s="87"/>
      <c r="N328" s="87"/>
      <c r="O328" s="87"/>
      <c r="P328" s="87"/>
      <c r="Q328" s="87"/>
      <c r="R328" s="87"/>
      <c r="S328" s="87"/>
      <c r="T328" s="87"/>
      <c r="U328" s="87"/>
      <c r="V328" s="87"/>
      <c r="W328" s="87"/>
      <c r="X328" s="87"/>
      <c r="Y328" s="87"/>
      <c r="Z328" s="87"/>
      <c r="AA328" s="87"/>
      <c r="AB328" s="87"/>
      <c r="AC328" s="87"/>
      <c r="AD328" s="87"/>
      <c r="AE328" s="87"/>
      <c r="AF328" s="87"/>
      <c r="AG328" s="87"/>
      <c r="AH328" s="87"/>
      <c r="AI328" s="87"/>
      <c r="AJ328" s="87"/>
      <c r="AK328" s="87"/>
      <c r="AL328" s="87"/>
      <c r="AM328" s="87"/>
      <c r="AN328" s="87"/>
      <c r="AO328" s="87"/>
      <c r="AP328" s="87"/>
      <c r="AQ328" s="87"/>
      <c r="AR328" s="87"/>
      <c r="AS328" s="87"/>
    </row>
    <row r="329" spans="1:45">
      <c r="A329" s="87"/>
      <c r="B329" s="87"/>
      <c r="C329" s="87"/>
      <c r="D329" s="87"/>
      <c r="E329" s="87"/>
      <c r="F329" s="87"/>
      <c r="G329" s="87"/>
      <c r="H329" s="87"/>
      <c r="I329" s="87"/>
      <c r="J329" s="87"/>
      <c r="K329" s="87"/>
      <c r="L329" s="87"/>
      <c r="M329" s="87"/>
      <c r="N329" s="87"/>
      <c r="O329" s="87"/>
      <c r="P329" s="87"/>
      <c r="Q329" s="87"/>
      <c r="R329" s="87"/>
      <c r="S329" s="87"/>
      <c r="T329" s="87"/>
      <c r="U329" s="87"/>
      <c r="V329" s="87"/>
      <c r="W329" s="87"/>
      <c r="X329" s="87"/>
      <c r="Y329" s="87"/>
      <c r="Z329" s="87"/>
      <c r="AA329" s="87"/>
      <c r="AB329" s="87"/>
      <c r="AC329" s="87"/>
      <c r="AD329" s="87"/>
      <c r="AE329" s="87"/>
      <c r="AF329" s="87"/>
      <c r="AG329" s="87"/>
      <c r="AH329" s="87"/>
      <c r="AI329" s="87"/>
      <c r="AJ329" s="87"/>
      <c r="AK329" s="87"/>
      <c r="AL329" s="87"/>
      <c r="AM329" s="87"/>
      <c r="AN329" s="87"/>
      <c r="AO329" s="87"/>
      <c r="AP329" s="87"/>
      <c r="AQ329" s="87"/>
      <c r="AR329" s="87"/>
      <c r="AS329" s="87"/>
    </row>
    <row r="330" spans="1:45">
      <c r="A330" s="87"/>
      <c r="B330" s="87"/>
      <c r="C330" s="87"/>
      <c r="D330" s="87"/>
      <c r="E330" s="87"/>
      <c r="F330" s="87"/>
      <c r="G330" s="87"/>
      <c r="H330" s="87"/>
      <c r="I330" s="87"/>
      <c r="J330" s="87"/>
      <c r="K330" s="87"/>
      <c r="L330" s="87"/>
      <c r="M330" s="87"/>
      <c r="N330" s="87"/>
      <c r="O330" s="87"/>
      <c r="P330" s="87"/>
      <c r="Q330" s="87"/>
      <c r="R330" s="87"/>
      <c r="S330" s="87"/>
      <c r="T330" s="87"/>
      <c r="U330" s="87"/>
      <c r="V330" s="87"/>
      <c r="W330" s="87"/>
      <c r="X330" s="87"/>
      <c r="Y330" s="87"/>
      <c r="Z330" s="87"/>
      <c r="AA330" s="87"/>
      <c r="AB330" s="87"/>
      <c r="AC330" s="87"/>
      <c r="AD330" s="87"/>
      <c r="AE330" s="87"/>
      <c r="AF330" s="87"/>
      <c r="AG330" s="87"/>
      <c r="AH330" s="87"/>
      <c r="AI330" s="87"/>
      <c r="AJ330" s="87"/>
      <c r="AK330" s="87"/>
      <c r="AL330" s="87"/>
      <c r="AM330" s="87"/>
      <c r="AN330" s="87"/>
      <c r="AO330" s="87"/>
      <c r="AP330" s="87"/>
      <c r="AQ330" s="87"/>
      <c r="AR330" s="87"/>
      <c r="AS330" s="87"/>
    </row>
    <row r="331" spans="1:45">
      <c r="A331" s="87"/>
      <c r="B331" s="87"/>
      <c r="C331" s="87"/>
      <c r="D331" s="87"/>
      <c r="E331" s="87"/>
      <c r="F331" s="87"/>
      <c r="G331" s="87"/>
      <c r="H331" s="87"/>
      <c r="I331" s="87"/>
      <c r="J331" s="87"/>
      <c r="K331" s="87"/>
      <c r="L331" s="87"/>
      <c r="M331" s="87"/>
      <c r="N331" s="87"/>
      <c r="O331" s="87"/>
      <c r="P331" s="87"/>
      <c r="Q331" s="87"/>
      <c r="R331" s="87"/>
      <c r="S331" s="87"/>
      <c r="T331" s="87"/>
      <c r="U331" s="87"/>
      <c r="V331" s="87"/>
      <c r="W331" s="87"/>
      <c r="X331" s="87"/>
      <c r="Y331" s="87"/>
      <c r="Z331" s="87"/>
      <c r="AA331" s="87"/>
      <c r="AB331" s="87"/>
      <c r="AC331" s="87"/>
      <c r="AD331" s="87"/>
      <c r="AE331" s="87"/>
      <c r="AF331" s="87"/>
      <c r="AG331" s="87"/>
      <c r="AH331" s="87"/>
      <c r="AI331" s="87"/>
      <c r="AJ331" s="87"/>
      <c r="AK331" s="87"/>
      <c r="AL331" s="87"/>
      <c r="AM331" s="87"/>
      <c r="AN331" s="87"/>
      <c r="AO331" s="87"/>
      <c r="AP331" s="87"/>
      <c r="AQ331" s="87"/>
      <c r="AR331" s="87"/>
      <c r="AS331" s="87"/>
    </row>
    <row r="332" spans="1:45">
      <c r="A332" s="87"/>
      <c r="B332" s="87"/>
      <c r="C332" s="87"/>
      <c r="D332" s="87"/>
      <c r="E332" s="87"/>
      <c r="F332" s="87"/>
      <c r="G332" s="87"/>
      <c r="H332" s="87"/>
      <c r="I332" s="87"/>
      <c r="J332" s="87"/>
      <c r="K332" s="87"/>
      <c r="L332" s="87"/>
      <c r="M332" s="87"/>
      <c r="N332" s="87"/>
      <c r="O332" s="87"/>
      <c r="P332" s="87"/>
      <c r="Q332" s="87"/>
      <c r="R332" s="87"/>
      <c r="S332" s="87"/>
      <c r="T332" s="87"/>
      <c r="U332" s="87"/>
      <c r="V332" s="87"/>
      <c r="W332" s="87"/>
      <c r="X332" s="87"/>
      <c r="Y332" s="87"/>
      <c r="Z332" s="87"/>
      <c r="AA332" s="87"/>
      <c r="AB332" s="87"/>
      <c r="AC332" s="87"/>
      <c r="AD332" s="87"/>
      <c r="AE332" s="87"/>
      <c r="AF332" s="87"/>
      <c r="AG332" s="87"/>
      <c r="AH332" s="87"/>
      <c r="AI332" s="87"/>
      <c r="AJ332" s="87"/>
      <c r="AK332" s="87"/>
      <c r="AL332" s="87"/>
      <c r="AM332" s="87"/>
      <c r="AN332" s="87"/>
      <c r="AO332" s="87"/>
      <c r="AP332" s="87"/>
      <c r="AQ332" s="87"/>
      <c r="AR332" s="87"/>
      <c r="AS332" s="87"/>
    </row>
    <row r="333" spans="1:45">
      <c r="A333" s="87"/>
      <c r="B333" s="87"/>
      <c r="C333" s="87"/>
      <c r="D333" s="87"/>
      <c r="E333" s="87"/>
      <c r="F333" s="87"/>
      <c r="G333" s="87"/>
      <c r="H333" s="87"/>
      <c r="I333" s="87"/>
      <c r="J333" s="87"/>
      <c r="K333" s="87"/>
      <c r="L333" s="87"/>
      <c r="M333" s="87"/>
      <c r="N333" s="87"/>
      <c r="O333" s="87"/>
      <c r="P333" s="87"/>
      <c r="Q333" s="87"/>
      <c r="R333" s="87"/>
      <c r="S333" s="87"/>
      <c r="T333" s="87"/>
      <c r="U333" s="87"/>
      <c r="V333" s="87"/>
      <c r="W333" s="87"/>
      <c r="X333" s="87"/>
      <c r="Y333" s="87"/>
      <c r="Z333" s="87"/>
      <c r="AA333" s="87"/>
      <c r="AB333" s="87"/>
      <c r="AC333" s="87"/>
      <c r="AD333" s="87"/>
      <c r="AE333" s="87"/>
      <c r="AF333" s="87"/>
      <c r="AG333" s="87"/>
      <c r="AH333" s="87"/>
      <c r="AI333" s="87"/>
      <c r="AJ333" s="87"/>
      <c r="AK333" s="87"/>
      <c r="AL333" s="87"/>
      <c r="AM333" s="87"/>
      <c r="AN333" s="87"/>
      <c r="AO333" s="87"/>
      <c r="AP333" s="87"/>
      <c r="AQ333" s="87"/>
      <c r="AR333" s="87"/>
      <c r="AS333" s="87"/>
    </row>
    <row r="334" spans="1:45">
      <c r="A334" s="87"/>
      <c r="B334" s="87"/>
      <c r="C334" s="87"/>
      <c r="D334" s="87"/>
      <c r="E334" s="87"/>
      <c r="F334" s="87"/>
      <c r="G334" s="87"/>
      <c r="H334" s="87"/>
      <c r="I334" s="87"/>
      <c r="J334" s="87"/>
      <c r="K334" s="87"/>
      <c r="L334" s="87"/>
      <c r="M334" s="87"/>
      <c r="N334" s="87"/>
      <c r="O334" s="87"/>
      <c r="P334" s="87"/>
      <c r="Q334" s="87"/>
      <c r="R334" s="87"/>
      <c r="S334" s="87"/>
      <c r="T334" s="87"/>
      <c r="U334" s="87"/>
      <c r="V334" s="87"/>
      <c r="W334" s="87"/>
      <c r="X334" s="87"/>
      <c r="Y334" s="87"/>
      <c r="Z334" s="87"/>
      <c r="AA334" s="87"/>
      <c r="AB334" s="87"/>
      <c r="AC334" s="87"/>
      <c r="AD334" s="87"/>
      <c r="AE334" s="87"/>
      <c r="AF334" s="87"/>
      <c r="AG334" s="87"/>
      <c r="AH334" s="87"/>
      <c r="AI334" s="87"/>
      <c r="AJ334" s="87"/>
      <c r="AK334" s="87"/>
      <c r="AL334" s="87"/>
      <c r="AM334" s="87"/>
      <c r="AN334" s="87"/>
      <c r="AO334" s="87"/>
      <c r="AP334" s="87"/>
      <c r="AQ334" s="87"/>
      <c r="AR334" s="87"/>
      <c r="AS334" s="87"/>
    </row>
    <row r="335" spans="1:45">
      <c r="A335" s="87"/>
      <c r="B335" s="87"/>
      <c r="C335" s="87"/>
      <c r="D335" s="87"/>
      <c r="E335" s="87"/>
      <c r="F335" s="87"/>
      <c r="G335" s="87"/>
      <c r="H335" s="87"/>
      <c r="I335" s="87"/>
      <c r="J335" s="87"/>
      <c r="K335" s="87"/>
      <c r="L335" s="87"/>
      <c r="M335" s="87"/>
      <c r="N335" s="87"/>
      <c r="O335" s="87"/>
      <c r="P335" s="87"/>
      <c r="Q335" s="87"/>
      <c r="R335" s="87"/>
      <c r="S335" s="87"/>
      <c r="T335" s="87"/>
      <c r="U335" s="87"/>
      <c r="V335" s="87"/>
      <c r="W335" s="87"/>
      <c r="X335" s="87"/>
      <c r="Y335" s="87"/>
      <c r="Z335" s="87"/>
      <c r="AA335" s="87"/>
      <c r="AB335" s="87"/>
      <c r="AC335" s="87"/>
      <c r="AD335" s="87"/>
      <c r="AE335" s="87"/>
      <c r="AF335" s="87"/>
      <c r="AG335" s="87"/>
      <c r="AH335" s="87"/>
      <c r="AI335" s="87"/>
      <c r="AJ335" s="87"/>
      <c r="AK335" s="87"/>
      <c r="AL335" s="87"/>
      <c r="AM335" s="87"/>
      <c r="AN335" s="87"/>
      <c r="AO335" s="87"/>
      <c r="AP335" s="87"/>
      <c r="AQ335" s="87"/>
      <c r="AR335" s="87"/>
      <c r="AS335" s="87"/>
    </row>
    <row r="336" spans="1:45">
      <c r="A336" s="87"/>
      <c r="B336" s="87"/>
      <c r="C336" s="87"/>
      <c r="D336" s="87"/>
      <c r="E336" s="87"/>
      <c r="F336" s="87"/>
      <c r="G336" s="87"/>
      <c r="H336" s="87"/>
      <c r="I336" s="87"/>
      <c r="J336" s="87"/>
      <c r="K336" s="87"/>
      <c r="L336" s="87"/>
      <c r="M336" s="87"/>
      <c r="N336" s="87"/>
      <c r="O336" s="87"/>
      <c r="P336" s="87"/>
      <c r="Q336" s="87"/>
      <c r="R336" s="87"/>
      <c r="S336" s="87"/>
      <c r="T336" s="87"/>
      <c r="U336" s="87"/>
      <c r="V336" s="87"/>
      <c r="W336" s="87"/>
      <c r="X336" s="87"/>
      <c r="Y336" s="87"/>
      <c r="Z336" s="87"/>
      <c r="AA336" s="87"/>
      <c r="AB336" s="87"/>
      <c r="AC336" s="87"/>
      <c r="AD336" s="87"/>
      <c r="AE336" s="87"/>
      <c r="AF336" s="87"/>
      <c r="AG336" s="87"/>
      <c r="AH336" s="87"/>
      <c r="AI336" s="87"/>
      <c r="AJ336" s="87"/>
      <c r="AK336" s="87"/>
      <c r="AL336" s="87"/>
      <c r="AM336" s="87"/>
      <c r="AN336" s="87"/>
      <c r="AO336" s="87"/>
      <c r="AP336" s="87"/>
      <c r="AQ336" s="87"/>
      <c r="AR336" s="87"/>
      <c r="AS336" s="87"/>
    </row>
    <row r="337" spans="1:45">
      <c r="A337" s="87"/>
      <c r="B337" s="87"/>
      <c r="C337" s="87"/>
      <c r="D337" s="87"/>
      <c r="E337" s="87"/>
      <c r="F337" s="87"/>
      <c r="G337" s="87"/>
      <c r="H337" s="87"/>
      <c r="I337" s="87"/>
      <c r="J337" s="87"/>
      <c r="K337" s="87"/>
      <c r="L337" s="87"/>
      <c r="M337" s="87"/>
      <c r="N337" s="87"/>
      <c r="O337" s="87"/>
      <c r="P337" s="87"/>
      <c r="Q337" s="87"/>
      <c r="R337" s="87"/>
      <c r="S337" s="87"/>
      <c r="T337" s="87"/>
      <c r="U337" s="87"/>
      <c r="V337" s="87"/>
      <c r="W337" s="87"/>
      <c r="X337" s="87"/>
      <c r="Y337" s="87"/>
      <c r="Z337" s="87"/>
      <c r="AA337" s="87"/>
      <c r="AB337" s="87"/>
      <c r="AC337" s="87"/>
      <c r="AD337" s="87"/>
      <c r="AE337" s="87"/>
      <c r="AF337" s="87"/>
      <c r="AG337" s="87"/>
      <c r="AH337" s="87"/>
      <c r="AI337" s="87"/>
      <c r="AJ337" s="87"/>
      <c r="AK337" s="87"/>
      <c r="AL337" s="87"/>
      <c r="AM337" s="87"/>
      <c r="AN337" s="87"/>
      <c r="AO337" s="87"/>
      <c r="AP337" s="87"/>
      <c r="AQ337" s="87"/>
      <c r="AR337" s="87"/>
      <c r="AS337" s="87"/>
    </row>
    <row r="338" spans="1:45">
      <c r="A338" s="87"/>
      <c r="B338" s="87"/>
      <c r="C338" s="87"/>
      <c r="D338" s="87"/>
      <c r="E338" s="87"/>
      <c r="F338" s="87"/>
      <c r="G338" s="87"/>
      <c r="H338" s="87"/>
      <c r="I338" s="87"/>
      <c r="J338" s="87"/>
      <c r="K338" s="87"/>
      <c r="L338" s="87"/>
      <c r="M338" s="87"/>
      <c r="N338" s="87"/>
      <c r="O338" s="87"/>
      <c r="P338" s="87"/>
      <c r="Q338" s="87"/>
      <c r="R338" s="87"/>
      <c r="S338" s="87"/>
      <c r="T338" s="87"/>
      <c r="U338" s="87"/>
      <c r="V338" s="87"/>
      <c r="W338" s="87"/>
      <c r="X338" s="87"/>
      <c r="Y338" s="87"/>
      <c r="Z338" s="87"/>
      <c r="AA338" s="87"/>
      <c r="AB338" s="87"/>
      <c r="AC338" s="87"/>
      <c r="AD338" s="87"/>
      <c r="AE338" s="87"/>
      <c r="AF338" s="87"/>
      <c r="AG338" s="87"/>
      <c r="AH338" s="87"/>
      <c r="AI338" s="87"/>
      <c r="AJ338" s="87"/>
      <c r="AK338" s="87"/>
      <c r="AL338" s="87"/>
      <c r="AM338" s="87"/>
      <c r="AN338" s="87"/>
      <c r="AO338" s="87"/>
      <c r="AP338" s="87"/>
      <c r="AQ338" s="87"/>
      <c r="AR338" s="87"/>
      <c r="AS338" s="87"/>
    </row>
    <row r="339" spans="1:45">
      <c r="A339" s="87"/>
      <c r="B339" s="87"/>
      <c r="C339" s="87"/>
      <c r="D339" s="87"/>
      <c r="E339" s="87"/>
      <c r="F339" s="87"/>
      <c r="G339" s="87"/>
      <c r="H339" s="87"/>
      <c r="I339" s="87"/>
      <c r="J339" s="87"/>
      <c r="K339" s="87"/>
      <c r="L339" s="87"/>
      <c r="M339" s="87"/>
      <c r="N339" s="87"/>
      <c r="O339" s="87"/>
      <c r="P339" s="87"/>
      <c r="Q339" s="87"/>
      <c r="R339" s="87"/>
      <c r="S339" s="87"/>
      <c r="T339" s="87"/>
      <c r="U339" s="87"/>
      <c r="V339" s="87"/>
      <c r="W339" s="87"/>
      <c r="X339" s="87"/>
      <c r="Y339" s="87"/>
      <c r="Z339" s="87"/>
      <c r="AA339" s="87"/>
      <c r="AB339" s="87"/>
      <c r="AC339" s="87"/>
      <c r="AD339" s="87"/>
      <c r="AE339" s="87"/>
      <c r="AF339" s="87"/>
      <c r="AG339" s="87"/>
      <c r="AH339" s="87"/>
      <c r="AI339" s="87"/>
      <c r="AJ339" s="87"/>
      <c r="AK339" s="87"/>
      <c r="AL339" s="87"/>
      <c r="AM339" s="87"/>
      <c r="AN339" s="87"/>
      <c r="AO339" s="87"/>
      <c r="AP339" s="87"/>
      <c r="AQ339" s="87"/>
      <c r="AR339" s="87"/>
      <c r="AS339" s="87"/>
    </row>
    <row r="340" spans="1:45">
      <c r="A340" s="87"/>
      <c r="B340" s="87"/>
      <c r="C340" s="87"/>
      <c r="D340" s="87"/>
      <c r="E340" s="87"/>
      <c r="F340" s="87"/>
      <c r="G340" s="87"/>
      <c r="H340" s="87"/>
      <c r="I340" s="87"/>
      <c r="J340" s="87"/>
      <c r="K340" s="87"/>
      <c r="L340" s="87"/>
      <c r="M340" s="87"/>
      <c r="N340" s="87"/>
      <c r="O340" s="87"/>
      <c r="P340" s="87"/>
      <c r="Q340" s="87"/>
      <c r="R340" s="87"/>
      <c r="S340" s="87"/>
      <c r="T340" s="87"/>
      <c r="U340" s="87"/>
      <c r="V340" s="87"/>
      <c r="W340" s="87"/>
      <c r="X340" s="87"/>
      <c r="Y340" s="87"/>
      <c r="Z340" s="87"/>
      <c r="AA340" s="87"/>
      <c r="AB340" s="87"/>
      <c r="AC340" s="87"/>
      <c r="AD340" s="87"/>
      <c r="AE340" s="87"/>
      <c r="AF340" s="87"/>
      <c r="AG340" s="87"/>
      <c r="AH340" s="87"/>
      <c r="AI340" s="87"/>
      <c r="AJ340" s="87"/>
      <c r="AK340" s="87"/>
      <c r="AL340" s="87"/>
      <c r="AM340" s="87"/>
      <c r="AN340" s="87"/>
      <c r="AO340" s="87"/>
      <c r="AP340" s="87"/>
      <c r="AQ340" s="87"/>
      <c r="AR340" s="87"/>
      <c r="AS340" s="87"/>
    </row>
    <row r="341" spans="1:45">
      <c r="A341" s="87"/>
      <c r="B341" s="87"/>
      <c r="C341" s="87"/>
      <c r="D341" s="87"/>
      <c r="E341" s="87"/>
      <c r="F341" s="87"/>
      <c r="G341" s="87"/>
      <c r="H341" s="87"/>
      <c r="I341" s="87"/>
      <c r="J341" s="87"/>
      <c r="K341" s="87"/>
      <c r="L341" s="87"/>
      <c r="M341" s="87"/>
      <c r="N341" s="87"/>
      <c r="O341" s="87"/>
      <c r="P341" s="87"/>
      <c r="Q341" s="87"/>
      <c r="R341" s="87"/>
      <c r="S341" s="87"/>
      <c r="T341" s="87"/>
      <c r="U341" s="87"/>
      <c r="V341" s="87"/>
      <c r="W341" s="87"/>
      <c r="X341" s="87"/>
      <c r="Y341" s="87"/>
      <c r="Z341" s="87"/>
      <c r="AA341" s="87"/>
      <c r="AB341" s="87"/>
      <c r="AC341" s="87"/>
      <c r="AD341" s="87"/>
      <c r="AE341" s="87"/>
      <c r="AF341" s="87"/>
      <c r="AG341" s="87"/>
      <c r="AH341" s="87"/>
      <c r="AI341" s="87"/>
      <c r="AJ341" s="87"/>
      <c r="AK341" s="87"/>
      <c r="AL341" s="87"/>
      <c r="AM341" s="87"/>
      <c r="AN341" s="87"/>
      <c r="AO341" s="87"/>
      <c r="AP341" s="87"/>
      <c r="AQ341" s="87"/>
      <c r="AR341" s="87"/>
      <c r="AS341" s="87"/>
    </row>
    <row r="342" spans="1:45">
      <c r="A342" s="87"/>
      <c r="B342" s="87"/>
      <c r="C342" s="87"/>
      <c r="D342" s="87"/>
      <c r="E342" s="87"/>
      <c r="F342" s="87"/>
      <c r="G342" s="87"/>
      <c r="H342" s="87"/>
      <c r="I342" s="87"/>
      <c r="J342" s="87"/>
      <c r="K342" s="87"/>
      <c r="L342" s="87"/>
      <c r="M342" s="87"/>
      <c r="N342" s="87"/>
      <c r="O342" s="87"/>
      <c r="P342" s="87"/>
      <c r="Q342" s="87"/>
      <c r="R342" s="87"/>
      <c r="S342" s="87"/>
      <c r="T342" s="87"/>
      <c r="U342" s="87"/>
      <c r="V342" s="87"/>
      <c r="W342" s="87"/>
      <c r="X342" s="87"/>
      <c r="Y342" s="87"/>
      <c r="Z342" s="87"/>
      <c r="AA342" s="87"/>
      <c r="AB342" s="87"/>
      <c r="AC342" s="87"/>
      <c r="AD342" s="87"/>
      <c r="AE342" s="87"/>
      <c r="AF342" s="87"/>
      <c r="AG342" s="87"/>
      <c r="AH342" s="87"/>
      <c r="AI342" s="87"/>
      <c r="AJ342" s="87"/>
      <c r="AK342" s="87"/>
      <c r="AL342" s="87"/>
      <c r="AM342" s="87"/>
      <c r="AN342" s="87"/>
      <c r="AO342" s="87"/>
      <c r="AP342" s="87"/>
      <c r="AQ342" s="87"/>
      <c r="AR342" s="87"/>
      <c r="AS342" s="87"/>
    </row>
    <row r="343" spans="1:45">
      <c r="A343" s="87"/>
      <c r="B343" s="87"/>
      <c r="C343" s="87"/>
      <c r="D343" s="87"/>
      <c r="E343" s="87"/>
      <c r="F343" s="87"/>
      <c r="G343" s="87"/>
      <c r="H343" s="87"/>
      <c r="I343" s="87"/>
      <c r="J343" s="87"/>
      <c r="K343" s="87"/>
      <c r="L343" s="87"/>
      <c r="M343" s="87"/>
      <c r="N343" s="87"/>
      <c r="O343" s="87"/>
      <c r="P343" s="87"/>
      <c r="Q343" s="87"/>
      <c r="R343" s="87"/>
      <c r="S343" s="87"/>
      <c r="T343" s="87"/>
      <c r="U343" s="87"/>
      <c r="V343" s="87"/>
      <c r="W343" s="87"/>
      <c r="X343" s="87"/>
      <c r="Y343" s="87"/>
      <c r="Z343" s="87"/>
      <c r="AA343" s="87"/>
      <c r="AB343" s="87"/>
      <c r="AC343" s="87"/>
      <c r="AD343" s="87"/>
      <c r="AE343" s="87"/>
      <c r="AF343" s="87"/>
      <c r="AG343" s="87"/>
      <c r="AH343" s="87"/>
      <c r="AI343" s="87"/>
      <c r="AJ343" s="87"/>
      <c r="AK343" s="87"/>
      <c r="AL343" s="87"/>
      <c r="AM343" s="87"/>
      <c r="AN343" s="87"/>
      <c r="AO343" s="87"/>
      <c r="AP343" s="87"/>
      <c r="AQ343" s="87"/>
      <c r="AR343" s="87"/>
      <c r="AS343" s="87"/>
    </row>
    <row r="344" spans="1:45">
      <c r="A344" s="87"/>
      <c r="B344" s="87"/>
      <c r="C344" s="87"/>
      <c r="D344" s="87"/>
      <c r="E344" s="87"/>
      <c r="F344" s="87"/>
      <c r="G344" s="87"/>
      <c r="H344" s="87"/>
      <c r="I344" s="87"/>
      <c r="J344" s="87"/>
      <c r="K344" s="87"/>
      <c r="L344" s="87"/>
      <c r="M344" s="87"/>
      <c r="N344" s="87"/>
      <c r="O344" s="87"/>
      <c r="P344" s="87"/>
      <c r="Q344" s="87"/>
      <c r="R344" s="87"/>
      <c r="S344" s="87"/>
      <c r="T344" s="87"/>
      <c r="U344" s="87"/>
      <c r="V344" s="87"/>
      <c r="W344" s="87"/>
      <c r="X344" s="87"/>
      <c r="Y344" s="87"/>
      <c r="Z344" s="87"/>
      <c r="AA344" s="87"/>
      <c r="AB344" s="87"/>
      <c r="AC344" s="87"/>
      <c r="AD344" s="87"/>
      <c r="AE344" s="87"/>
      <c r="AF344" s="87"/>
      <c r="AG344" s="87"/>
      <c r="AH344" s="87"/>
      <c r="AI344" s="87"/>
      <c r="AJ344" s="87"/>
      <c r="AK344" s="87"/>
      <c r="AL344" s="87"/>
      <c r="AM344" s="87"/>
      <c r="AN344" s="87"/>
      <c r="AO344" s="87"/>
      <c r="AP344" s="87"/>
      <c r="AQ344" s="87"/>
      <c r="AR344" s="87"/>
      <c r="AS344" s="87"/>
    </row>
    <row r="345" spans="1:45">
      <c r="A345" s="87"/>
      <c r="B345" s="87"/>
      <c r="C345" s="87"/>
      <c r="D345" s="87"/>
      <c r="E345" s="87"/>
      <c r="F345" s="87"/>
      <c r="G345" s="87"/>
      <c r="H345" s="87"/>
      <c r="I345" s="87"/>
      <c r="J345" s="87"/>
      <c r="K345" s="87"/>
      <c r="L345" s="87"/>
      <c r="M345" s="87"/>
      <c r="N345" s="87"/>
      <c r="O345" s="87"/>
      <c r="P345" s="87"/>
      <c r="Q345" s="87"/>
      <c r="R345" s="87"/>
      <c r="S345" s="87"/>
      <c r="T345" s="87"/>
      <c r="U345" s="87"/>
      <c r="V345" s="87"/>
      <c r="W345" s="87"/>
      <c r="X345" s="87"/>
      <c r="Y345" s="87"/>
      <c r="Z345" s="87"/>
      <c r="AA345" s="87"/>
      <c r="AB345" s="87"/>
      <c r="AC345" s="87"/>
      <c r="AD345" s="87"/>
      <c r="AE345" s="87"/>
      <c r="AF345" s="87"/>
      <c r="AG345" s="87"/>
      <c r="AH345" s="87"/>
      <c r="AI345" s="87"/>
      <c r="AJ345" s="87"/>
      <c r="AK345" s="87"/>
      <c r="AL345" s="87"/>
      <c r="AM345" s="87"/>
      <c r="AN345" s="87"/>
      <c r="AO345" s="87"/>
      <c r="AP345" s="87"/>
      <c r="AQ345" s="87"/>
      <c r="AR345" s="87"/>
      <c r="AS345" s="87"/>
    </row>
    <row r="346" spans="1:45">
      <c r="A346" s="87"/>
      <c r="B346" s="87"/>
      <c r="C346" s="87"/>
      <c r="D346" s="87"/>
      <c r="E346" s="87"/>
      <c r="F346" s="87"/>
      <c r="G346" s="87"/>
      <c r="H346" s="87"/>
      <c r="I346" s="87"/>
      <c r="J346" s="87"/>
      <c r="K346" s="87"/>
      <c r="L346" s="87"/>
      <c r="M346" s="87"/>
      <c r="N346" s="87"/>
      <c r="O346" s="87"/>
      <c r="P346" s="87"/>
      <c r="Q346" s="87"/>
      <c r="R346" s="87"/>
      <c r="S346" s="87"/>
      <c r="T346" s="87"/>
      <c r="U346" s="87"/>
      <c r="V346" s="87"/>
      <c r="W346" s="87"/>
      <c r="X346" s="87"/>
      <c r="Y346" s="87"/>
      <c r="Z346" s="87"/>
      <c r="AA346" s="87"/>
      <c r="AB346" s="87"/>
      <c r="AC346" s="87"/>
      <c r="AD346" s="87"/>
      <c r="AE346" s="87"/>
      <c r="AF346" s="87"/>
      <c r="AG346" s="87"/>
      <c r="AH346" s="87"/>
      <c r="AI346" s="87"/>
      <c r="AJ346" s="87"/>
      <c r="AK346" s="87"/>
      <c r="AL346" s="87"/>
      <c r="AM346" s="87"/>
      <c r="AN346" s="87"/>
      <c r="AO346" s="87"/>
      <c r="AP346" s="87"/>
      <c r="AQ346" s="87"/>
      <c r="AR346" s="87"/>
      <c r="AS346" s="87"/>
    </row>
    <row r="347" spans="1:45">
      <c r="A347" s="87"/>
      <c r="B347" s="87"/>
      <c r="C347" s="87"/>
      <c r="D347" s="87"/>
      <c r="E347" s="87"/>
      <c r="F347" s="87"/>
      <c r="G347" s="87"/>
      <c r="H347" s="87"/>
      <c r="I347" s="87"/>
      <c r="J347" s="87"/>
      <c r="K347" s="87"/>
      <c r="L347" s="87"/>
      <c r="M347" s="87"/>
      <c r="N347" s="87"/>
      <c r="O347" s="87"/>
      <c r="P347" s="87"/>
      <c r="Q347" s="87"/>
      <c r="R347" s="87"/>
      <c r="S347" s="87"/>
      <c r="T347" s="87"/>
      <c r="U347" s="87"/>
      <c r="V347" s="87"/>
      <c r="W347" s="87"/>
      <c r="X347" s="87"/>
      <c r="Y347" s="87"/>
      <c r="Z347" s="87"/>
      <c r="AA347" s="87"/>
      <c r="AB347" s="87"/>
      <c r="AC347" s="87"/>
      <c r="AD347" s="87"/>
      <c r="AE347" s="87"/>
      <c r="AF347" s="87"/>
      <c r="AG347" s="87"/>
      <c r="AH347" s="87"/>
      <c r="AI347" s="87"/>
      <c r="AJ347" s="87"/>
      <c r="AK347" s="87"/>
      <c r="AL347" s="87"/>
      <c r="AM347" s="87"/>
      <c r="AN347" s="87"/>
      <c r="AO347" s="87"/>
      <c r="AP347" s="87"/>
      <c r="AQ347" s="87"/>
      <c r="AR347" s="87"/>
      <c r="AS347" s="87"/>
    </row>
    <row r="348" spans="1:45">
      <c r="A348" s="87"/>
      <c r="B348" s="87"/>
      <c r="C348" s="87"/>
      <c r="D348" s="87"/>
      <c r="E348" s="87"/>
      <c r="F348" s="87"/>
      <c r="G348" s="87"/>
      <c r="H348" s="87"/>
      <c r="I348" s="87"/>
      <c r="J348" s="87"/>
      <c r="K348" s="87"/>
      <c r="L348" s="87"/>
      <c r="M348" s="87"/>
      <c r="N348" s="87"/>
      <c r="O348" s="87"/>
      <c r="P348" s="87"/>
      <c r="Q348" s="87"/>
      <c r="R348" s="87"/>
      <c r="S348" s="87"/>
      <c r="T348" s="87"/>
      <c r="U348" s="87"/>
      <c r="V348" s="87"/>
      <c r="W348" s="87"/>
      <c r="X348" s="87"/>
      <c r="Y348" s="87"/>
      <c r="Z348" s="87"/>
      <c r="AA348" s="87"/>
      <c r="AB348" s="87"/>
      <c r="AC348" s="87"/>
      <c r="AD348" s="87"/>
      <c r="AE348" s="87"/>
      <c r="AF348" s="87"/>
      <c r="AG348" s="87"/>
      <c r="AH348" s="87"/>
      <c r="AI348" s="87"/>
      <c r="AJ348" s="87"/>
      <c r="AK348" s="87"/>
      <c r="AL348" s="87"/>
      <c r="AM348" s="87"/>
      <c r="AN348" s="87"/>
      <c r="AO348" s="87"/>
      <c r="AP348" s="87"/>
      <c r="AQ348" s="87"/>
      <c r="AR348" s="87"/>
      <c r="AS348" s="87"/>
    </row>
    <row r="349" spans="1:45">
      <c r="A349" s="87"/>
      <c r="B349" s="87"/>
      <c r="C349" s="87"/>
      <c r="D349" s="87"/>
      <c r="E349" s="87"/>
      <c r="F349" s="87"/>
      <c r="G349" s="87"/>
      <c r="H349" s="87"/>
      <c r="I349" s="87"/>
      <c r="J349" s="87"/>
      <c r="K349" s="87"/>
      <c r="L349" s="87"/>
      <c r="M349" s="87"/>
      <c r="N349" s="87"/>
      <c r="O349" s="87"/>
      <c r="P349" s="87"/>
      <c r="Q349" s="87"/>
      <c r="R349" s="87"/>
      <c r="S349" s="87"/>
      <c r="T349" s="87"/>
      <c r="U349" s="87"/>
      <c r="V349" s="87"/>
      <c r="W349" s="87"/>
      <c r="X349" s="87"/>
      <c r="Y349" s="87"/>
      <c r="Z349" s="87"/>
      <c r="AA349" s="87"/>
      <c r="AB349" s="87"/>
      <c r="AC349" s="87"/>
      <c r="AD349" s="87"/>
      <c r="AE349" s="87"/>
      <c r="AF349" s="87"/>
      <c r="AG349" s="87"/>
      <c r="AH349" s="87"/>
      <c r="AI349" s="87"/>
      <c r="AJ349" s="87"/>
      <c r="AK349" s="87"/>
      <c r="AL349" s="87"/>
      <c r="AM349" s="87"/>
      <c r="AN349" s="87"/>
      <c r="AO349" s="87"/>
      <c r="AP349" s="87"/>
      <c r="AQ349" s="87"/>
      <c r="AR349" s="87"/>
      <c r="AS349" s="87"/>
    </row>
    <row r="350" spans="1:45">
      <c r="A350" s="87"/>
      <c r="B350" s="87"/>
      <c r="C350" s="87"/>
      <c r="D350" s="87"/>
      <c r="E350" s="87"/>
      <c r="F350" s="87"/>
      <c r="G350" s="87"/>
      <c r="H350" s="87"/>
      <c r="I350" s="87"/>
      <c r="J350" s="87"/>
      <c r="K350" s="87"/>
      <c r="L350" s="87"/>
      <c r="M350" s="87"/>
      <c r="N350" s="87"/>
      <c r="O350" s="87"/>
      <c r="P350" s="87"/>
      <c r="Q350" s="87"/>
      <c r="R350" s="87"/>
      <c r="S350" s="87"/>
      <c r="T350" s="87"/>
      <c r="U350" s="87"/>
      <c r="V350" s="87"/>
      <c r="W350" s="87"/>
      <c r="X350" s="87"/>
      <c r="Y350" s="87"/>
      <c r="Z350" s="87"/>
      <c r="AA350" s="87"/>
      <c r="AB350" s="87"/>
      <c r="AC350" s="87"/>
      <c r="AD350" s="87"/>
      <c r="AE350" s="87"/>
      <c r="AF350" s="87"/>
      <c r="AG350" s="87"/>
      <c r="AH350" s="87"/>
      <c r="AI350" s="87"/>
      <c r="AJ350" s="87"/>
      <c r="AK350" s="87"/>
      <c r="AL350" s="87"/>
      <c r="AM350" s="87"/>
      <c r="AN350" s="87"/>
      <c r="AO350" s="87"/>
      <c r="AP350" s="87"/>
      <c r="AQ350" s="87"/>
      <c r="AR350" s="87"/>
      <c r="AS350" s="87"/>
    </row>
    <row r="351" spans="1:45">
      <c r="A351" s="87"/>
      <c r="B351" s="87"/>
      <c r="C351" s="87"/>
      <c r="D351" s="87"/>
      <c r="E351" s="87"/>
      <c r="F351" s="87"/>
      <c r="G351" s="87"/>
      <c r="H351" s="87"/>
      <c r="I351" s="87"/>
      <c r="J351" s="87"/>
      <c r="K351" s="87"/>
      <c r="L351" s="87"/>
      <c r="M351" s="87"/>
      <c r="N351" s="87"/>
      <c r="O351" s="87"/>
      <c r="P351" s="87"/>
      <c r="Q351" s="87"/>
      <c r="R351" s="87"/>
      <c r="S351" s="87"/>
      <c r="T351" s="87"/>
      <c r="U351" s="87"/>
      <c r="V351" s="87"/>
      <c r="W351" s="87"/>
      <c r="X351" s="87"/>
      <c r="Y351" s="87"/>
      <c r="Z351" s="87"/>
      <c r="AA351" s="87"/>
      <c r="AB351" s="87"/>
      <c r="AC351" s="87"/>
      <c r="AD351" s="87"/>
      <c r="AE351" s="87"/>
      <c r="AF351" s="87"/>
      <c r="AG351" s="87"/>
      <c r="AH351" s="87"/>
      <c r="AI351" s="87"/>
      <c r="AJ351" s="87"/>
      <c r="AK351" s="87"/>
      <c r="AL351" s="87"/>
      <c r="AM351" s="87"/>
      <c r="AN351" s="87"/>
      <c r="AO351" s="87"/>
      <c r="AP351" s="87"/>
      <c r="AQ351" s="87"/>
      <c r="AR351" s="87"/>
      <c r="AS351" s="87"/>
    </row>
    <row r="352" spans="1:45">
      <c r="A352" s="87"/>
      <c r="B352" s="87"/>
      <c r="C352" s="87"/>
      <c r="D352" s="87"/>
      <c r="E352" s="87"/>
      <c r="F352" s="87"/>
      <c r="G352" s="87"/>
      <c r="H352" s="87"/>
      <c r="I352" s="87"/>
      <c r="J352" s="87"/>
      <c r="K352" s="87"/>
      <c r="L352" s="87"/>
      <c r="M352" s="87"/>
      <c r="N352" s="87"/>
      <c r="O352" s="87"/>
      <c r="P352" s="87"/>
      <c r="Q352" s="87"/>
      <c r="R352" s="87"/>
      <c r="S352" s="87"/>
      <c r="T352" s="87"/>
      <c r="U352" s="87"/>
      <c r="V352" s="87"/>
      <c r="W352" s="87"/>
      <c r="X352" s="87"/>
      <c r="Y352" s="87"/>
      <c r="Z352" s="87"/>
      <c r="AA352" s="87"/>
      <c r="AB352" s="87"/>
      <c r="AC352" s="87"/>
      <c r="AD352" s="87"/>
      <c r="AE352" s="87"/>
      <c r="AF352" s="87"/>
      <c r="AG352" s="87"/>
      <c r="AH352" s="87"/>
      <c r="AI352" s="87"/>
      <c r="AJ352" s="87"/>
      <c r="AK352" s="87"/>
      <c r="AL352" s="87"/>
      <c r="AM352" s="87"/>
      <c r="AN352" s="87"/>
      <c r="AO352" s="87"/>
      <c r="AP352" s="87"/>
      <c r="AQ352" s="87"/>
      <c r="AR352" s="87"/>
      <c r="AS352" s="87"/>
    </row>
    <row r="353" spans="1:45">
      <c r="A353" s="87"/>
      <c r="B353" s="87"/>
      <c r="C353" s="87"/>
      <c r="D353" s="87"/>
      <c r="E353" s="87"/>
      <c r="F353" s="87"/>
      <c r="G353" s="87"/>
      <c r="H353" s="87"/>
      <c r="I353" s="87"/>
      <c r="J353" s="87"/>
      <c r="K353" s="87"/>
      <c r="L353" s="87"/>
      <c r="M353" s="87"/>
      <c r="N353" s="87"/>
      <c r="O353" s="87"/>
      <c r="P353" s="87"/>
      <c r="Q353" s="87"/>
      <c r="R353" s="87"/>
      <c r="S353" s="87"/>
      <c r="T353" s="87"/>
      <c r="U353" s="87"/>
      <c r="V353" s="87"/>
      <c r="W353" s="87"/>
      <c r="X353" s="87"/>
      <c r="Y353" s="87"/>
      <c r="Z353" s="87"/>
      <c r="AA353" s="87"/>
      <c r="AB353" s="87"/>
      <c r="AC353" s="87"/>
      <c r="AD353" s="87"/>
      <c r="AE353" s="87"/>
      <c r="AF353" s="87"/>
      <c r="AG353" s="87"/>
      <c r="AH353" s="87"/>
      <c r="AI353" s="87"/>
      <c r="AJ353" s="87"/>
      <c r="AK353" s="87"/>
      <c r="AL353" s="87"/>
      <c r="AM353" s="87"/>
      <c r="AN353" s="87"/>
      <c r="AO353" s="87"/>
      <c r="AP353" s="87"/>
      <c r="AQ353" s="87"/>
      <c r="AR353" s="87"/>
      <c r="AS353" s="87"/>
    </row>
    <row r="354" spans="1:45">
      <c r="A354" s="87"/>
      <c r="B354" s="87"/>
      <c r="C354" s="87"/>
      <c r="D354" s="87"/>
      <c r="E354" s="87"/>
      <c r="F354" s="87"/>
      <c r="G354" s="87"/>
      <c r="H354" s="87"/>
      <c r="I354" s="87"/>
      <c r="J354" s="87"/>
      <c r="K354" s="87"/>
      <c r="L354" s="87"/>
      <c r="M354" s="87"/>
      <c r="N354" s="87"/>
      <c r="O354" s="87"/>
      <c r="P354" s="87"/>
      <c r="Q354" s="87"/>
      <c r="R354" s="87"/>
      <c r="S354" s="87"/>
      <c r="T354" s="87"/>
      <c r="U354" s="87"/>
      <c r="V354" s="87"/>
      <c r="W354" s="87"/>
      <c r="X354" s="87"/>
      <c r="Y354" s="87"/>
      <c r="Z354" s="87"/>
      <c r="AA354" s="87"/>
      <c r="AB354" s="87"/>
      <c r="AC354" s="87"/>
      <c r="AD354" s="87"/>
      <c r="AE354" s="87"/>
      <c r="AF354" s="87"/>
      <c r="AG354" s="87"/>
      <c r="AH354" s="87"/>
      <c r="AI354" s="87"/>
      <c r="AJ354" s="87"/>
      <c r="AK354" s="87"/>
      <c r="AL354" s="87"/>
      <c r="AM354" s="87"/>
      <c r="AN354" s="87"/>
      <c r="AO354" s="87"/>
      <c r="AP354" s="87"/>
      <c r="AQ354" s="87"/>
      <c r="AR354" s="87"/>
      <c r="AS354" s="87"/>
    </row>
    <row r="355" spans="1:45">
      <c r="A355" s="87"/>
      <c r="B355" s="87"/>
      <c r="C355" s="87"/>
      <c r="D355" s="87"/>
      <c r="E355" s="87"/>
      <c r="F355" s="87"/>
      <c r="G355" s="87"/>
      <c r="H355" s="87"/>
      <c r="I355" s="87"/>
      <c r="J355" s="87"/>
      <c r="K355" s="87"/>
      <c r="L355" s="87"/>
      <c r="M355" s="87"/>
      <c r="N355" s="87"/>
      <c r="O355" s="87"/>
      <c r="P355" s="87"/>
      <c r="Q355" s="87"/>
      <c r="R355" s="87"/>
      <c r="S355" s="87"/>
      <c r="T355" s="87"/>
      <c r="U355" s="87"/>
      <c r="V355" s="87"/>
      <c r="W355" s="87"/>
      <c r="X355" s="87"/>
      <c r="Y355" s="87"/>
      <c r="Z355" s="87"/>
      <c r="AA355" s="87"/>
      <c r="AB355" s="87"/>
      <c r="AC355" s="87"/>
      <c r="AD355" s="87"/>
      <c r="AE355" s="87"/>
      <c r="AF355" s="87"/>
      <c r="AG355" s="87"/>
      <c r="AH355" s="87"/>
      <c r="AI355" s="87"/>
      <c r="AJ355" s="87"/>
      <c r="AK355" s="87"/>
      <c r="AL355" s="87"/>
      <c r="AM355" s="87"/>
      <c r="AN355" s="87"/>
      <c r="AO355" s="87"/>
      <c r="AP355" s="87"/>
      <c r="AQ355" s="87"/>
      <c r="AR355" s="87"/>
      <c r="AS355" s="87"/>
    </row>
    <row r="356" spans="1:45">
      <c r="A356" s="87"/>
      <c r="B356" s="87"/>
      <c r="C356" s="87"/>
      <c r="D356" s="87"/>
      <c r="E356" s="87"/>
      <c r="F356" s="87"/>
      <c r="G356" s="87"/>
      <c r="H356" s="87"/>
      <c r="I356" s="87"/>
      <c r="J356" s="87"/>
      <c r="K356" s="87"/>
      <c r="L356" s="87"/>
      <c r="M356" s="87"/>
      <c r="N356" s="87"/>
      <c r="O356" s="87"/>
      <c r="P356" s="87"/>
      <c r="Q356" s="87"/>
      <c r="R356" s="87"/>
      <c r="S356" s="87"/>
      <c r="T356" s="87"/>
      <c r="U356" s="87"/>
      <c r="V356" s="87"/>
      <c r="W356" s="87"/>
      <c r="X356" s="87"/>
      <c r="Y356" s="87"/>
      <c r="Z356" s="87"/>
      <c r="AA356" s="87"/>
      <c r="AB356" s="87"/>
      <c r="AC356" s="87"/>
      <c r="AD356" s="87"/>
      <c r="AE356" s="87"/>
      <c r="AF356" s="87"/>
      <c r="AG356" s="87"/>
      <c r="AH356" s="87"/>
      <c r="AI356" s="87"/>
      <c r="AJ356" s="87"/>
      <c r="AK356" s="87"/>
      <c r="AL356" s="87"/>
      <c r="AM356" s="87"/>
      <c r="AN356" s="87"/>
      <c r="AO356" s="87"/>
      <c r="AP356" s="87"/>
      <c r="AQ356" s="87"/>
      <c r="AR356" s="87"/>
      <c r="AS356" s="87"/>
    </row>
    <row r="357" spans="1:45">
      <c r="A357" s="87"/>
      <c r="B357" s="87"/>
      <c r="C357" s="87"/>
      <c r="D357" s="87"/>
      <c r="E357" s="87"/>
      <c r="F357" s="87"/>
      <c r="G357" s="87"/>
      <c r="H357" s="87"/>
      <c r="I357" s="87"/>
      <c r="J357" s="87"/>
      <c r="K357" s="87"/>
      <c r="L357" s="87"/>
      <c r="M357" s="87"/>
      <c r="N357" s="87"/>
      <c r="O357" s="87"/>
      <c r="P357" s="87"/>
      <c r="Q357" s="87"/>
      <c r="R357" s="87"/>
      <c r="S357" s="87"/>
      <c r="T357" s="87"/>
      <c r="U357" s="87"/>
      <c r="V357" s="87"/>
      <c r="W357" s="87"/>
      <c r="X357" s="87"/>
      <c r="Y357" s="87"/>
      <c r="Z357" s="87"/>
      <c r="AA357" s="87"/>
      <c r="AB357" s="87"/>
      <c r="AC357" s="87"/>
      <c r="AD357" s="87"/>
      <c r="AE357" s="87"/>
      <c r="AF357" s="87"/>
      <c r="AG357" s="87"/>
      <c r="AH357" s="87"/>
      <c r="AI357" s="87"/>
      <c r="AJ357" s="87"/>
      <c r="AK357" s="87"/>
      <c r="AL357" s="87"/>
      <c r="AM357" s="87"/>
      <c r="AN357" s="87"/>
      <c r="AO357" s="87"/>
      <c r="AP357" s="87"/>
      <c r="AQ357" s="87"/>
      <c r="AR357" s="87"/>
      <c r="AS357" s="87"/>
    </row>
    <row r="358" spans="1:45">
      <c r="A358" s="87"/>
      <c r="B358" s="87"/>
      <c r="C358" s="87"/>
      <c r="D358" s="87"/>
      <c r="E358" s="87"/>
      <c r="F358" s="87"/>
      <c r="G358" s="87"/>
      <c r="H358" s="87"/>
      <c r="I358" s="87"/>
      <c r="J358" s="87"/>
      <c r="K358" s="87"/>
      <c r="L358" s="87"/>
      <c r="M358" s="87"/>
      <c r="N358" s="87"/>
      <c r="O358" s="87"/>
      <c r="P358" s="87"/>
      <c r="Q358" s="87"/>
      <c r="R358" s="87"/>
      <c r="S358" s="87"/>
      <c r="T358" s="87"/>
      <c r="U358" s="87"/>
      <c r="V358" s="87"/>
      <c r="W358" s="87"/>
      <c r="X358" s="87"/>
      <c r="Y358" s="87"/>
      <c r="Z358" s="87"/>
      <c r="AA358" s="87"/>
      <c r="AB358" s="87"/>
      <c r="AC358" s="87"/>
      <c r="AD358" s="87"/>
      <c r="AE358" s="87"/>
      <c r="AF358" s="87"/>
      <c r="AG358" s="87"/>
      <c r="AH358" s="87"/>
      <c r="AI358" s="87"/>
      <c r="AJ358" s="87"/>
      <c r="AK358" s="87"/>
      <c r="AL358" s="87"/>
      <c r="AM358" s="87"/>
      <c r="AN358" s="87"/>
      <c r="AO358" s="87"/>
      <c r="AP358" s="87"/>
      <c r="AQ358" s="87"/>
      <c r="AR358" s="87"/>
      <c r="AS358" s="87"/>
    </row>
    <row r="359" spans="1:45">
      <c r="A359" s="87"/>
      <c r="B359" s="87"/>
      <c r="C359" s="87"/>
      <c r="D359" s="87"/>
      <c r="E359" s="87"/>
      <c r="F359" s="87"/>
      <c r="G359" s="87"/>
      <c r="H359" s="87"/>
      <c r="I359" s="87"/>
      <c r="J359" s="87"/>
      <c r="K359" s="87"/>
      <c r="L359" s="87"/>
      <c r="M359" s="87"/>
      <c r="N359" s="87"/>
      <c r="O359" s="87"/>
      <c r="P359" s="87"/>
      <c r="Q359" s="87"/>
      <c r="R359" s="87"/>
      <c r="S359" s="87"/>
      <c r="T359" s="87"/>
      <c r="U359" s="87"/>
      <c r="V359" s="87"/>
      <c r="W359" s="87"/>
      <c r="X359" s="87"/>
      <c r="Y359" s="87"/>
      <c r="Z359" s="87"/>
      <c r="AA359" s="87"/>
      <c r="AB359" s="87"/>
      <c r="AC359" s="87"/>
      <c r="AD359" s="87"/>
      <c r="AE359" s="87"/>
      <c r="AF359" s="87"/>
      <c r="AG359" s="87"/>
      <c r="AH359" s="87"/>
      <c r="AI359" s="87"/>
      <c r="AJ359" s="87"/>
      <c r="AK359" s="87"/>
      <c r="AL359" s="87"/>
      <c r="AM359" s="87"/>
      <c r="AN359" s="87"/>
      <c r="AO359" s="87"/>
      <c r="AP359" s="87"/>
      <c r="AQ359" s="87"/>
      <c r="AR359" s="87"/>
      <c r="AS359" s="87"/>
    </row>
    <row r="360" spans="1:45">
      <c r="A360" s="87"/>
      <c r="B360" s="87"/>
      <c r="C360" s="87"/>
      <c r="D360" s="87"/>
      <c r="E360" s="87"/>
      <c r="F360" s="87"/>
      <c r="G360" s="87"/>
      <c r="H360" s="87"/>
      <c r="I360" s="87"/>
      <c r="J360" s="87"/>
      <c r="K360" s="87"/>
      <c r="L360" s="87"/>
      <c r="M360" s="87"/>
      <c r="N360" s="87"/>
      <c r="O360" s="87"/>
      <c r="P360" s="87"/>
      <c r="Q360" s="87"/>
      <c r="R360" s="87"/>
      <c r="S360" s="87"/>
      <c r="T360" s="87"/>
      <c r="U360" s="87"/>
      <c r="V360" s="87"/>
      <c r="W360" s="87"/>
      <c r="X360" s="87"/>
      <c r="Y360" s="87"/>
      <c r="Z360" s="87"/>
      <c r="AA360" s="87"/>
      <c r="AB360" s="87"/>
      <c r="AC360" s="87"/>
      <c r="AD360" s="87"/>
      <c r="AE360" s="87"/>
      <c r="AF360" s="87"/>
      <c r="AG360" s="87"/>
      <c r="AH360" s="87"/>
      <c r="AI360" s="87"/>
      <c r="AJ360" s="87"/>
      <c r="AK360" s="87"/>
      <c r="AL360" s="87"/>
      <c r="AM360" s="87"/>
      <c r="AN360" s="87"/>
      <c r="AO360" s="87"/>
      <c r="AP360" s="87"/>
      <c r="AQ360" s="87"/>
      <c r="AR360" s="87"/>
      <c r="AS360" s="87"/>
    </row>
    <row r="361" spans="1:45">
      <c r="A361" s="87"/>
      <c r="B361" s="87"/>
      <c r="C361" s="87"/>
      <c r="D361" s="87"/>
      <c r="E361" s="87"/>
      <c r="F361" s="87"/>
      <c r="G361" s="87"/>
      <c r="H361" s="87"/>
      <c r="I361" s="87"/>
      <c r="J361" s="87"/>
      <c r="K361" s="87"/>
      <c r="L361" s="87"/>
      <c r="M361" s="87"/>
      <c r="N361" s="87"/>
      <c r="O361" s="87"/>
      <c r="P361" s="87"/>
      <c r="Q361" s="87"/>
      <c r="R361" s="87"/>
      <c r="S361" s="87"/>
      <c r="T361" s="87"/>
      <c r="U361" s="87"/>
      <c r="V361" s="87"/>
      <c r="W361" s="87"/>
      <c r="X361" s="87"/>
      <c r="Y361" s="87"/>
      <c r="Z361" s="87"/>
      <c r="AA361" s="87"/>
      <c r="AB361" s="87"/>
      <c r="AC361" s="87"/>
      <c r="AD361" s="87"/>
      <c r="AE361" s="87"/>
      <c r="AF361" s="87"/>
      <c r="AG361" s="87"/>
      <c r="AH361" s="87"/>
      <c r="AI361" s="87"/>
      <c r="AJ361" s="87"/>
      <c r="AK361" s="87"/>
      <c r="AL361" s="87"/>
      <c r="AM361" s="87"/>
      <c r="AN361" s="87"/>
      <c r="AO361" s="87"/>
      <c r="AP361" s="87"/>
      <c r="AQ361" s="87"/>
      <c r="AR361" s="87"/>
      <c r="AS361" s="87"/>
    </row>
    <row r="362" spans="1:45">
      <c r="A362" s="87"/>
      <c r="B362" s="87"/>
      <c r="C362" s="87"/>
      <c r="D362" s="87"/>
      <c r="E362" s="87"/>
      <c r="F362" s="87"/>
      <c r="G362" s="87"/>
      <c r="H362" s="87"/>
      <c r="I362" s="87"/>
      <c r="J362" s="87"/>
      <c r="K362" s="87"/>
      <c r="L362" s="87"/>
      <c r="M362" s="87"/>
      <c r="N362" s="87"/>
      <c r="O362" s="87"/>
      <c r="P362" s="87"/>
      <c r="Q362" s="87"/>
      <c r="R362" s="87"/>
      <c r="S362" s="87"/>
      <c r="T362" s="87"/>
      <c r="U362" s="87"/>
      <c r="V362" s="87"/>
      <c r="W362" s="87"/>
      <c r="X362" s="87"/>
      <c r="Y362" s="87"/>
      <c r="Z362" s="87"/>
      <c r="AA362" s="87"/>
      <c r="AB362" s="87"/>
      <c r="AC362" s="87"/>
      <c r="AD362" s="87"/>
      <c r="AE362" s="87"/>
      <c r="AF362" s="87"/>
      <c r="AG362" s="87"/>
      <c r="AH362" s="87"/>
      <c r="AI362" s="87"/>
      <c r="AJ362" s="87"/>
      <c r="AK362" s="87"/>
      <c r="AL362" s="87"/>
      <c r="AM362" s="87"/>
      <c r="AN362" s="87"/>
      <c r="AO362" s="87"/>
      <c r="AP362" s="87"/>
      <c r="AQ362" s="87"/>
      <c r="AR362" s="87"/>
      <c r="AS362" s="87"/>
    </row>
    <row r="363" spans="1:45">
      <c r="A363" s="87"/>
      <c r="B363" s="87"/>
      <c r="C363" s="87"/>
      <c r="D363" s="87"/>
      <c r="E363" s="87"/>
      <c r="F363" s="87"/>
      <c r="G363" s="87"/>
      <c r="H363" s="87"/>
      <c r="I363" s="87"/>
      <c r="J363" s="87"/>
      <c r="K363" s="87"/>
      <c r="L363" s="87"/>
      <c r="M363" s="87"/>
      <c r="N363" s="87"/>
      <c r="O363" s="87"/>
      <c r="P363" s="87"/>
      <c r="Q363" s="87"/>
      <c r="R363" s="87"/>
      <c r="S363" s="87"/>
      <c r="T363" s="87"/>
      <c r="U363" s="87"/>
      <c r="V363" s="87"/>
      <c r="W363" s="87"/>
      <c r="X363" s="87"/>
      <c r="Y363" s="87"/>
      <c r="Z363" s="87"/>
      <c r="AA363" s="87"/>
      <c r="AB363" s="87"/>
      <c r="AC363" s="87"/>
      <c r="AD363" s="87"/>
      <c r="AE363" s="87"/>
      <c r="AF363" s="87"/>
      <c r="AG363" s="87"/>
      <c r="AH363" s="87"/>
      <c r="AI363" s="87"/>
      <c r="AJ363" s="87"/>
      <c r="AK363" s="87"/>
      <c r="AL363" s="87"/>
      <c r="AM363" s="87"/>
      <c r="AN363" s="87"/>
      <c r="AO363" s="87"/>
      <c r="AP363" s="87"/>
      <c r="AQ363" s="87"/>
      <c r="AR363" s="87"/>
      <c r="AS363" s="87"/>
    </row>
    <row r="364" spans="1:45">
      <c r="A364" s="87"/>
      <c r="B364" s="87"/>
      <c r="C364" s="87"/>
      <c r="D364" s="87"/>
      <c r="E364" s="87"/>
      <c r="F364" s="87"/>
      <c r="G364" s="87"/>
      <c r="H364" s="87"/>
      <c r="I364" s="87"/>
      <c r="J364" s="87"/>
      <c r="K364" s="87"/>
      <c r="L364" s="87"/>
      <c r="M364" s="87"/>
      <c r="N364" s="87"/>
      <c r="O364" s="87"/>
      <c r="P364" s="87"/>
      <c r="Q364" s="87"/>
      <c r="R364" s="87"/>
      <c r="S364" s="87"/>
      <c r="T364" s="87"/>
      <c r="U364" s="87"/>
      <c r="V364" s="87"/>
      <c r="W364" s="87"/>
      <c r="X364" s="87"/>
      <c r="Y364" s="87"/>
      <c r="Z364" s="87"/>
      <c r="AA364" s="87"/>
      <c r="AB364" s="87"/>
      <c r="AC364" s="87"/>
      <c r="AD364" s="87"/>
      <c r="AE364" s="87"/>
      <c r="AF364" s="87"/>
      <c r="AG364" s="87"/>
      <c r="AH364" s="87"/>
      <c r="AI364" s="87"/>
      <c r="AJ364" s="87"/>
      <c r="AK364" s="87"/>
      <c r="AL364" s="87"/>
      <c r="AM364" s="87"/>
      <c r="AN364" s="87"/>
      <c r="AO364" s="87"/>
      <c r="AP364" s="87"/>
      <c r="AQ364" s="87"/>
      <c r="AR364" s="87"/>
      <c r="AS364" s="87"/>
    </row>
    <row r="365" spans="1:45">
      <c r="A365" s="87"/>
      <c r="B365" s="87"/>
      <c r="C365" s="87"/>
      <c r="D365" s="87"/>
      <c r="E365" s="87"/>
      <c r="F365" s="87"/>
      <c r="G365" s="87"/>
      <c r="H365" s="87"/>
      <c r="I365" s="87"/>
      <c r="J365" s="87"/>
      <c r="K365" s="87"/>
      <c r="L365" s="87"/>
      <c r="M365" s="87"/>
      <c r="N365" s="87"/>
      <c r="O365" s="87"/>
      <c r="P365" s="87"/>
      <c r="Q365" s="87"/>
      <c r="R365" s="87"/>
      <c r="S365" s="87"/>
      <c r="T365" s="87"/>
      <c r="U365" s="87"/>
      <c r="V365" s="87"/>
      <c r="W365" s="87"/>
      <c r="X365" s="87"/>
      <c r="Y365" s="87"/>
      <c r="Z365" s="87"/>
      <c r="AA365" s="87"/>
      <c r="AB365" s="87"/>
      <c r="AC365" s="87"/>
      <c r="AD365" s="87"/>
      <c r="AE365" s="87"/>
      <c r="AF365" s="87"/>
      <c r="AG365" s="87"/>
      <c r="AH365" s="87"/>
      <c r="AI365" s="87"/>
      <c r="AJ365" s="87"/>
      <c r="AK365" s="87"/>
      <c r="AL365" s="87"/>
      <c r="AM365" s="87"/>
      <c r="AN365" s="87"/>
      <c r="AO365" s="87"/>
      <c r="AP365" s="87"/>
      <c r="AQ365" s="87"/>
      <c r="AR365" s="87"/>
      <c r="AS365" s="87"/>
    </row>
    <row r="366" spans="1:45">
      <c r="A366" s="87"/>
      <c r="B366" s="87"/>
      <c r="C366" s="87"/>
      <c r="D366" s="87"/>
      <c r="E366" s="87"/>
      <c r="F366" s="87"/>
      <c r="G366" s="87"/>
      <c r="H366" s="87"/>
      <c r="I366" s="87"/>
      <c r="J366" s="87"/>
      <c r="K366" s="87"/>
      <c r="L366" s="87"/>
      <c r="M366" s="87"/>
      <c r="N366" s="87"/>
      <c r="O366" s="87"/>
      <c r="P366" s="87"/>
      <c r="Q366" s="87"/>
      <c r="R366" s="87"/>
      <c r="S366" s="87"/>
      <c r="T366" s="87"/>
      <c r="U366" s="87"/>
      <c r="V366" s="87"/>
      <c r="W366" s="87"/>
      <c r="X366" s="87"/>
      <c r="Y366" s="87"/>
      <c r="Z366" s="87"/>
      <c r="AA366" s="87"/>
      <c r="AB366" s="87"/>
      <c r="AC366" s="87"/>
      <c r="AD366" s="87"/>
      <c r="AE366" s="87"/>
      <c r="AF366" s="87"/>
      <c r="AG366" s="87"/>
      <c r="AH366" s="87"/>
      <c r="AI366" s="87"/>
      <c r="AJ366" s="87"/>
      <c r="AK366" s="87"/>
      <c r="AL366" s="87"/>
      <c r="AM366" s="87"/>
      <c r="AN366" s="87"/>
      <c r="AO366" s="87"/>
      <c r="AP366" s="87"/>
      <c r="AQ366" s="87"/>
      <c r="AR366" s="87"/>
      <c r="AS366" s="87"/>
    </row>
    <row r="367" spans="1:45">
      <c r="A367" s="87"/>
      <c r="B367" s="87"/>
      <c r="C367" s="87"/>
      <c r="D367" s="87"/>
      <c r="E367" s="87"/>
      <c r="F367" s="87"/>
      <c r="G367" s="87"/>
      <c r="H367" s="87"/>
      <c r="I367" s="87"/>
      <c r="J367" s="87"/>
      <c r="K367" s="87"/>
      <c r="L367" s="87"/>
      <c r="M367" s="87"/>
      <c r="N367" s="87"/>
      <c r="O367" s="87"/>
      <c r="P367" s="87"/>
      <c r="Q367" s="87"/>
      <c r="R367" s="87"/>
      <c r="S367" s="87"/>
      <c r="T367" s="87"/>
      <c r="U367" s="87"/>
      <c r="V367" s="87"/>
      <c r="W367" s="87"/>
      <c r="X367" s="87"/>
      <c r="Y367" s="87"/>
      <c r="Z367" s="87"/>
      <c r="AA367" s="87"/>
      <c r="AB367" s="87"/>
      <c r="AC367" s="87"/>
      <c r="AD367" s="87"/>
      <c r="AE367" s="87"/>
      <c r="AF367" s="87"/>
      <c r="AG367" s="87"/>
      <c r="AH367" s="87"/>
      <c r="AI367" s="87"/>
      <c r="AJ367" s="87"/>
      <c r="AK367" s="87"/>
      <c r="AL367" s="87"/>
      <c r="AM367" s="87"/>
      <c r="AN367" s="87"/>
      <c r="AO367" s="87"/>
      <c r="AP367" s="87"/>
      <c r="AQ367" s="87"/>
      <c r="AR367" s="87"/>
      <c r="AS367" s="87"/>
    </row>
    <row r="368" spans="1:45">
      <c r="A368" s="87"/>
      <c r="B368" s="87"/>
      <c r="C368" s="87"/>
      <c r="D368" s="87"/>
      <c r="E368" s="87"/>
      <c r="F368" s="87"/>
      <c r="G368" s="87"/>
      <c r="H368" s="87"/>
      <c r="I368" s="87"/>
      <c r="J368" s="87"/>
      <c r="K368" s="87"/>
      <c r="L368" s="87"/>
      <c r="M368" s="87"/>
      <c r="N368" s="87"/>
      <c r="O368" s="87"/>
      <c r="P368" s="87"/>
      <c r="Q368" s="87"/>
      <c r="R368" s="87"/>
      <c r="S368" s="87"/>
      <c r="T368" s="87"/>
      <c r="U368" s="87"/>
      <c r="V368" s="87"/>
      <c r="W368" s="87"/>
      <c r="X368" s="87"/>
      <c r="Y368" s="87"/>
      <c r="Z368" s="87"/>
      <c r="AA368" s="87"/>
      <c r="AB368" s="87"/>
      <c r="AC368" s="87"/>
      <c r="AD368" s="87"/>
      <c r="AE368" s="87"/>
      <c r="AF368" s="87"/>
      <c r="AG368" s="87"/>
      <c r="AH368" s="87"/>
      <c r="AI368" s="87"/>
      <c r="AJ368" s="87"/>
      <c r="AK368" s="87"/>
      <c r="AL368" s="87"/>
      <c r="AM368" s="87"/>
      <c r="AN368" s="87"/>
      <c r="AO368" s="87"/>
      <c r="AP368" s="87"/>
      <c r="AQ368" s="87"/>
      <c r="AR368" s="87"/>
      <c r="AS368" s="87"/>
    </row>
    <row r="369" spans="1:45">
      <c r="A369" s="87"/>
      <c r="B369" s="87"/>
      <c r="C369" s="87"/>
      <c r="D369" s="87"/>
      <c r="E369" s="87"/>
      <c r="F369" s="87"/>
      <c r="G369" s="87"/>
      <c r="H369" s="87"/>
      <c r="I369" s="87"/>
      <c r="J369" s="87"/>
      <c r="K369" s="87"/>
      <c r="L369" s="87"/>
      <c r="M369" s="87"/>
      <c r="N369" s="87"/>
      <c r="O369" s="87"/>
      <c r="P369" s="87"/>
      <c r="Q369" s="87"/>
      <c r="R369" s="87"/>
      <c r="S369" s="87"/>
      <c r="T369" s="87"/>
      <c r="U369" s="87"/>
      <c r="V369" s="87"/>
      <c r="W369" s="87"/>
      <c r="X369" s="87"/>
      <c r="Y369" s="87"/>
      <c r="Z369" s="87"/>
      <c r="AA369" s="87"/>
      <c r="AB369" s="87"/>
      <c r="AC369" s="87"/>
      <c r="AD369" s="87"/>
      <c r="AE369" s="87"/>
      <c r="AF369" s="87"/>
      <c r="AG369" s="87"/>
      <c r="AH369" s="87"/>
      <c r="AI369" s="87"/>
      <c r="AJ369" s="87"/>
      <c r="AK369" s="87"/>
      <c r="AL369" s="87"/>
      <c r="AM369" s="87"/>
      <c r="AN369" s="87"/>
      <c r="AO369" s="87"/>
      <c r="AP369" s="87"/>
      <c r="AQ369" s="87"/>
      <c r="AR369" s="87"/>
      <c r="AS369" s="87"/>
    </row>
    <row r="370" spans="1:45">
      <c r="A370" s="87"/>
      <c r="B370" s="87"/>
      <c r="C370" s="87"/>
      <c r="D370" s="87"/>
      <c r="E370" s="87"/>
      <c r="F370" s="87"/>
      <c r="G370" s="87"/>
      <c r="H370" s="87"/>
      <c r="I370" s="87"/>
      <c r="J370" s="87"/>
      <c r="K370" s="87"/>
      <c r="L370" s="87"/>
      <c r="M370" s="87"/>
      <c r="N370" s="87"/>
      <c r="O370" s="87"/>
      <c r="P370" s="87"/>
      <c r="Q370" s="87"/>
      <c r="R370" s="87"/>
      <c r="S370" s="87"/>
      <c r="T370" s="87"/>
      <c r="U370" s="87"/>
      <c r="V370" s="87"/>
      <c r="W370" s="87"/>
      <c r="X370" s="87"/>
      <c r="Y370" s="87"/>
      <c r="Z370" s="87"/>
      <c r="AA370" s="87"/>
      <c r="AB370" s="87"/>
      <c r="AC370" s="87"/>
      <c r="AD370" s="87"/>
      <c r="AE370" s="87"/>
      <c r="AF370" s="87"/>
      <c r="AG370" s="87"/>
      <c r="AH370" s="87"/>
      <c r="AI370" s="87"/>
      <c r="AJ370" s="87"/>
      <c r="AK370" s="87"/>
      <c r="AL370" s="87"/>
      <c r="AM370" s="87"/>
      <c r="AN370" s="87"/>
      <c r="AO370" s="87"/>
      <c r="AP370" s="87"/>
      <c r="AQ370" s="87"/>
      <c r="AR370" s="87"/>
      <c r="AS370" s="87"/>
    </row>
    <row r="371" spans="1:45">
      <c r="A371" s="87"/>
      <c r="B371" s="87"/>
      <c r="C371" s="87"/>
      <c r="D371" s="87"/>
      <c r="E371" s="87"/>
      <c r="F371" s="87"/>
      <c r="G371" s="87"/>
      <c r="H371" s="87"/>
      <c r="I371" s="87"/>
      <c r="J371" s="87"/>
      <c r="K371" s="87"/>
      <c r="L371" s="87"/>
      <c r="M371" s="87"/>
      <c r="N371" s="87"/>
      <c r="O371" s="87"/>
      <c r="P371" s="87"/>
      <c r="Q371" s="87"/>
      <c r="R371" s="87"/>
      <c r="S371" s="87"/>
      <c r="T371" s="87"/>
      <c r="U371" s="87"/>
      <c r="V371" s="87"/>
      <c r="W371" s="87"/>
      <c r="X371" s="87"/>
      <c r="Y371" s="87"/>
      <c r="Z371" s="87"/>
      <c r="AA371" s="87"/>
      <c r="AB371" s="87"/>
      <c r="AC371" s="87"/>
      <c r="AD371" s="87"/>
      <c r="AE371" s="87"/>
      <c r="AF371" s="87"/>
      <c r="AG371" s="87"/>
      <c r="AH371" s="87"/>
      <c r="AI371" s="87"/>
      <c r="AJ371" s="87"/>
      <c r="AK371" s="87"/>
      <c r="AL371" s="87"/>
      <c r="AM371" s="87"/>
      <c r="AN371" s="87"/>
      <c r="AO371" s="87"/>
      <c r="AP371" s="87"/>
      <c r="AQ371" s="87"/>
      <c r="AR371" s="87"/>
      <c r="AS371" s="87"/>
    </row>
    <row r="372" spans="1:45">
      <c r="A372" s="87"/>
      <c r="B372" s="87"/>
      <c r="C372" s="87"/>
      <c r="D372" s="87"/>
      <c r="E372" s="87"/>
      <c r="F372" s="87"/>
      <c r="G372" s="87"/>
      <c r="H372" s="87"/>
      <c r="I372" s="87"/>
      <c r="J372" s="87"/>
      <c r="K372" s="87"/>
      <c r="L372" s="87"/>
      <c r="M372" s="87"/>
      <c r="N372" s="87"/>
      <c r="O372" s="87"/>
      <c r="P372" s="87"/>
      <c r="Q372" s="87"/>
      <c r="R372" s="87"/>
      <c r="S372" s="87"/>
      <c r="T372" s="87"/>
      <c r="U372" s="87"/>
      <c r="V372" s="87"/>
      <c r="W372" s="87"/>
      <c r="X372" s="87"/>
      <c r="Y372" s="87"/>
      <c r="Z372" s="87"/>
      <c r="AA372" s="87"/>
      <c r="AB372" s="87"/>
      <c r="AC372" s="87"/>
      <c r="AD372" s="87"/>
      <c r="AE372" s="87"/>
      <c r="AF372" s="87"/>
      <c r="AG372" s="87"/>
      <c r="AH372" s="87"/>
      <c r="AI372" s="87"/>
      <c r="AJ372" s="87"/>
      <c r="AK372" s="87"/>
      <c r="AL372" s="87"/>
      <c r="AM372" s="87"/>
      <c r="AN372" s="87"/>
      <c r="AO372" s="87"/>
      <c r="AP372" s="87"/>
      <c r="AQ372" s="87"/>
      <c r="AR372" s="87"/>
      <c r="AS372" s="87"/>
    </row>
    <row r="373" spans="1:45">
      <c r="A373" s="87"/>
      <c r="B373" s="87"/>
      <c r="C373" s="87"/>
      <c r="D373" s="87"/>
      <c r="E373" s="87"/>
      <c r="F373" s="87"/>
      <c r="G373" s="87"/>
      <c r="H373" s="87"/>
      <c r="I373" s="87"/>
      <c r="J373" s="87"/>
      <c r="K373" s="87"/>
      <c r="L373" s="87"/>
      <c r="M373" s="87"/>
      <c r="N373" s="87"/>
      <c r="O373" s="87"/>
      <c r="P373" s="87"/>
      <c r="Q373" s="87"/>
      <c r="R373" s="87"/>
      <c r="S373" s="87"/>
      <c r="T373" s="87"/>
      <c r="U373" s="87"/>
      <c r="V373" s="87"/>
      <c r="W373" s="87"/>
      <c r="X373" s="87"/>
      <c r="Y373" s="87"/>
      <c r="Z373" s="87"/>
      <c r="AA373" s="87"/>
      <c r="AB373" s="87"/>
      <c r="AC373" s="87"/>
      <c r="AD373" s="87"/>
      <c r="AE373" s="87"/>
      <c r="AF373" s="87"/>
      <c r="AG373" s="87"/>
      <c r="AH373" s="87"/>
      <c r="AI373" s="87"/>
      <c r="AJ373" s="87"/>
      <c r="AK373" s="87"/>
      <c r="AL373" s="87"/>
      <c r="AM373" s="87"/>
      <c r="AN373" s="87"/>
      <c r="AO373" s="87"/>
      <c r="AP373" s="87"/>
      <c r="AQ373" s="87"/>
      <c r="AR373" s="87"/>
      <c r="AS373" s="87"/>
    </row>
    <row r="374" spans="1:45">
      <c r="A374" s="87"/>
      <c r="B374" s="87"/>
      <c r="C374" s="87"/>
      <c r="D374" s="87"/>
      <c r="E374" s="87"/>
      <c r="F374" s="87"/>
      <c r="G374" s="87"/>
      <c r="H374" s="87"/>
      <c r="I374" s="87"/>
      <c r="J374" s="87"/>
      <c r="K374" s="87"/>
      <c r="L374" s="87"/>
      <c r="M374" s="87"/>
      <c r="N374" s="87"/>
      <c r="O374" s="87"/>
      <c r="P374" s="87"/>
      <c r="Q374" s="87"/>
      <c r="R374" s="87"/>
      <c r="S374" s="87"/>
      <c r="T374" s="87"/>
      <c r="U374" s="87"/>
      <c r="V374" s="87"/>
      <c r="W374" s="87"/>
      <c r="X374" s="87"/>
      <c r="Y374" s="87"/>
      <c r="Z374" s="87"/>
      <c r="AA374" s="87"/>
      <c r="AB374" s="87"/>
      <c r="AC374" s="87"/>
      <c r="AD374" s="87"/>
      <c r="AE374" s="87"/>
      <c r="AF374" s="87"/>
      <c r="AG374" s="87"/>
      <c r="AH374" s="87"/>
      <c r="AI374" s="87"/>
      <c r="AJ374" s="87"/>
      <c r="AK374" s="87"/>
      <c r="AL374" s="87"/>
      <c r="AM374" s="87"/>
      <c r="AN374" s="87"/>
      <c r="AO374" s="87"/>
      <c r="AP374" s="87"/>
      <c r="AQ374" s="87"/>
      <c r="AR374" s="87"/>
      <c r="AS374" s="87"/>
    </row>
    <row r="375" spans="1:45">
      <c r="A375" s="87"/>
      <c r="B375" s="87"/>
      <c r="C375" s="87"/>
      <c r="D375" s="87"/>
      <c r="E375" s="87"/>
      <c r="F375" s="87"/>
      <c r="G375" s="87"/>
      <c r="H375" s="87"/>
      <c r="I375" s="87"/>
      <c r="J375" s="87"/>
      <c r="K375" s="87"/>
      <c r="L375" s="87"/>
      <c r="M375" s="87"/>
      <c r="N375" s="87"/>
      <c r="O375" s="87"/>
      <c r="P375" s="87"/>
      <c r="Q375" s="87"/>
      <c r="R375" s="87"/>
      <c r="S375" s="87"/>
      <c r="T375" s="87"/>
      <c r="U375" s="87"/>
      <c r="V375" s="87"/>
      <c r="W375" s="87"/>
      <c r="X375" s="87"/>
      <c r="Y375" s="87"/>
      <c r="Z375" s="87"/>
      <c r="AA375" s="87"/>
      <c r="AB375" s="87"/>
      <c r="AC375" s="87"/>
      <c r="AD375" s="87"/>
      <c r="AE375" s="87"/>
      <c r="AF375" s="87"/>
      <c r="AG375" s="87"/>
      <c r="AH375" s="87"/>
      <c r="AI375" s="87"/>
      <c r="AJ375" s="87"/>
      <c r="AK375" s="87"/>
      <c r="AL375" s="87"/>
      <c r="AM375" s="87"/>
      <c r="AN375" s="87"/>
      <c r="AO375" s="87"/>
      <c r="AP375" s="87"/>
      <c r="AQ375" s="87"/>
      <c r="AR375" s="87"/>
      <c r="AS375" s="87"/>
    </row>
    <row r="376" spans="1:45">
      <c r="A376" s="87"/>
      <c r="B376" s="87"/>
      <c r="C376" s="87"/>
      <c r="D376" s="87"/>
      <c r="E376" s="87"/>
      <c r="F376" s="87"/>
      <c r="G376" s="87"/>
      <c r="H376" s="87"/>
      <c r="I376" s="87"/>
      <c r="J376" s="87"/>
      <c r="K376" s="87"/>
      <c r="L376" s="87"/>
      <c r="M376" s="87"/>
      <c r="N376" s="87"/>
      <c r="O376" s="87"/>
      <c r="P376" s="87"/>
      <c r="Q376" s="87"/>
      <c r="R376" s="87"/>
      <c r="S376" s="87"/>
      <c r="T376" s="87"/>
      <c r="U376" s="87"/>
      <c r="V376" s="87"/>
      <c r="W376" s="87"/>
      <c r="X376" s="87"/>
      <c r="Y376" s="87"/>
      <c r="Z376" s="87"/>
      <c r="AA376" s="87"/>
      <c r="AB376" s="87"/>
      <c r="AC376" s="87"/>
      <c r="AD376" s="87"/>
      <c r="AE376" s="87"/>
      <c r="AF376" s="87"/>
      <c r="AG376" s="87"/>
      <c r="AH376" s="87"/>
      <c r="AI376" s="87"/>
      <c r="AJ376" s="87"/>
      <c r="AK376" s="87"/>
      <c r="AL376" s="87"/>
      <c r="AM376" s="87"/>
      <c r="AN376" s="87"/>
      <c r="AO376" s="87"/>
      <c r="AP376" s="87"/>
      <c r="AQ376" s="87"/>
      <c r="AR376" s="87"/>
      <c r="AS376" s="87"/>
    </row>
    <row r="377" spans="1:45">
      <c r="A377" s="87"/>
      <c r="B377" s="87"/>
      <c r="C377" s="87"/>
      <c r="D377" s="87"/>
      <c r="E377" s="87"/>
      <c r="F377" s="87"/>
      <c r="G377" s="87"/>
      <c r="H377" s="87"/>
      <c r="I377" s="87"/>
      <c r="J377" s="87"/>
      <c r="K377" s="87"/>
      <c r="L377" s="87"/>
      <c r="M377" s="87"/>
      <c r="N377" s="87"/>
      <c r="O377" s="87"/>
      <c r="P377" s="87"/>
      <c r="Q377" s="87"/>
      <c r="R377" s="87"/>
      <c r="S377" s="87"/>
      <c r="T377" s="87"/>
      <c r="U377" s="87"/>
      <c r="V377" s="87"/>
      <c r="W377" s="87"/>
      <c r="X377" s="87"/>
      <c r="Y377" s="87"/>
      <c r="Z377" s="87"/>
      <c r="AA377" s="87"/>
      <c r="AB377" s="87"/>
      <c r="AC377" s="87"/>
      <c r="AD377" s="87"/>
      <c r="AE377" s="87"/>
      <c r="AF377" s="87"/>
      <c r="AG377" s="87"/>
      <c r="AH377" s="87"/>
      <c r="AI377" s="87"/>
      <c r="AJ377" s="87"/>
      <c r="AK377" s="87"/>
      <c r="AL377" s="87"/>
      <c r="AM377" s="87"/>
      <c r="AN377" s="87"/>
      <c r="AO377" s="87"/>
      <c r="AP377" s="87"/>
      <c r="AQ377" s="87"/>
      <c r="AR377" s="87"/>
      <c r="AS377" s="87"/>
    </row>
    <row r="378" spans="1:45">
      <c r="A378" s="87"/>
      <c r="B378" s="87"/>
      <c r="C378" s="87"/>
      <c r="D378" s="87"/>
      <c r="E378" s="87"/>
      <c r="F378" s="87"/>
      <c r="G378" s="87"/>
      <c r="H378" s="87"/>
      <c r="I378" s="87"/>
      <c r="J378" s="87"/>
      <c r="K378" s="87"/>
      <c r="L378" s="87"/>
      <c r="M378" s="87"/>
      <c r="N378" s="87"/>
      <c r="O378" s="87"/>
      <c r="P378" s="87"/>
      <c r="Q378" s="87"/>
      <c r="R378" s="87"/>
      <c r="S378" s="87"/>
      <c r="T378" s="87"/>
      <c r="U378" s="87"/>
      <c r="V378" s="87"/>
      <c r="W378" s="87"/>
      <c r="X378" s="87"/>
      <c r="Y378" s="87"/>
      <c r="Z378" s="87"/>
      <c r="AA378" s="87"/>
      <c r="AB378" s="87"/>
      <c r="AC378" s="87"/>
      <c r="AD378" s="87"/>
      <c r="AE378" s="87"/>
      <c r="AF378" s="87"/>
      <c r="AG378" s="87"/>
      <c r="AH378" s="87"/>
      <c r="AI378" s="87"/>
      <c r="AJ378" s="87"/>
      <c r="AK378" s="87"/>
      <c r="AL378" s="87"/>
      <c r="AM378" s="87"/>
      <c r="AN378" s="87"/>
      <c r="AO378" s="87"/>
      <c r="AP378" s="87"/>
      <c r="AQ378" s="87"/>
      <c r="AR378" s="87"/>
      <c r="AS378" s="87"/>
    </row>
    <row r="379" spans="1:45">
      <c r="A379" s="87"/>
      <c r="B379" s="87"/>
      <c r="C379" s="87"/>
      <c r="D379" s="87"/>
      <c r="E379" s="87"/>
      <c r="F379" s="87"/>
      <c r="G379" s="87"/>
      <c r="H379" s="87"/>
      <c r="I379" s="87"/>
      <c r="J379" s="87"/>
      <c r="K379" s="87"/>
      <c r="L379" s="87"/>
      <c r="M379" s="87"/>
      <c r="N379" s="87"/>
      <c r="O379" s="87"/>
      <c r="P379" s="87"/>
      <c r="Q379" s="87"/>
      <c r="R379" s="87"/>
      <c r="S379" s="87"/>
      <c r="T379" s="87"/>
      <c r="U379" s="87"/>
      <c r="V379" s="87"/>
      <c r="W379" s="87"/>
      <c r="X379" s="87"/>
      <c r="Y379" s="87"/>
      <c r="Z379" s="87"/>
      <c r="AA379" s="87"/>
      <c r="AB379" s="87"/>
      <c r="AC379" s="87"/>
      <c r="AD379" s="87"/>
      <c r="AE379" s="87"/>
      <c r="AF379" s="87"/>
      <c r="AG379" s="87"/>
      <c r="AH379" s="87"/>
      <c r="AI379" s="87"/>
      <c r="AJ379" s="87"/>
      <c r="AK379" s="87"/>
      <c r="AL379" s="87"/>
      <c r="AM379" s="87"/>
      <c r="AN379" s="87"/>
      <c r="AO379" s="87"/>
      <c r="AP379" s="87"/>
      <c r="AQ379" s="87"/>
      <c r="AR379" s="87"/>
      <c r="AS379" s="87"/>
    </row>
    <row r="380" spans="1:45">
      <c r="A380" s="87"/>
      <c r="B380" s="87"/>
      <c r="C380" s="87"/>
      <c r="D380" s="87"/>
      <c r="E380" s="87"/>
      <c r="F380" s="87"/>
      <c r="G380" s="87"/>
      <c r="H380" s="87"/>
      <c r="I380" s="87"/>
      <c r="J380" s="87"/>
      <c r="K380" s="87"/>
      <c r="L380" s="87"/>
      <c r="M380" s="87"/>
      <c r="N380" s="87"/>
      <c r="O380" s="87"/>
      <c r="P380" s="87"/>
      <c r="Q380" s="87"/>
      <c r="R380" s="87"/>
      <c r="S380" s="87"/>
      <c r="T380" s="87"/>
      <c r="U380" s="87"/>
      <c r="V380" s="87"/>
      <c r="W380" s="87"/>
      <c r="X380" s="87"/>
      <c r="Y380" s="87"/>
      <c r="Z380" s="87"/>
      <c r="AA380" s="87"/>
      <c r="AB380" s="87"/>
      <c r="AC380" s="87"/>
      <c r="AD380" s="87"/>
      <c r="AE380" s="87"/>
      <c r="AF380" s="87"/>
      <c r="AG380" s="87"/>
      <c r="AH380" s="87"/>
      <c r="AI380" s="87"/>
      <c r="AJ380" s="87"/>
      <c r="AK380" s="87"/>
      <c r="AL380" s="87"/>
      <c r="AM380" s="87"/>
      <c r="AN380" s="87"/>
      <c r="AO380" s="87"/>
      <c r="AP380" s="87"/>
      <c r="AQ380" s="87"/>
      <c r="AR380" s="87"/>
      <c r="AS380" s="87"/>
    </row>
    <row r="381" spans="1:45">
      <c r="A381" s="87"/>
      <c r="B381" s="87"/>
      <c r="C381" s="87"/>
      <c r="D381" s="87"/>
      <c r="E381" s="87"/>
      <c r="F381" s="87"/>
      <c r="G381" s="87"/>
      <c r="H381" s="87"/>
      <c r="I381" s="87"/>
      <c r="J381" s="87"/>
      <c r="K381" s="87"/>
      <c r="L381" s="87"/>
      <c r="M381" s="87"/>
      <c r="N381" s="87"/>
      <c r="O381" s="87"/>
      <c r="P381" s="87"/>
      <c r="Q381" s="87"/>
      <c r="R381" s="87"/>
      <c r="S381" s="87"/>
      <c r="T381" s="87"/>
      <c r="U381" s="87"/>
      <c r="V381" s="87"/>
      <c r="W381" s="87"/>
      <c r="X381" s="87"/>
      <c r="Y381" s="87"/>
      <c r="Z381" s="87"/>
      <c r="AA381" s="87"/>
      <c r="AB381" s="87"/>
      <c r="AC381" s="87"/>
      <c r="AD381" s="87"/>
      <c r="AE381" s="87"/>
      <c r="AF381" s="87"/>
      <c r="AG381" s="87"/>
      <c r="AH381" s="87"/>
      <c r="AI381" s="87"/>
      <c r="AJ381" s="87"/>
      <c r="AK381" s="87"/>
      <c r="AL381" s="87"/>
      <c r="AM381" s="87"/>
      <c r="AN381" s="87"/>
      <c r="AO381" s="87"/>
      <c r="AP381" s="87"/>
      <c r="AQ381" s="87"/>
      <c r="AR381" s="87"/>
      <c r="AS381" s="87"/>
    </row>
    <row r="382" spans="1:45">
      <c r="A382" s="87"/>
      <c r="B382" s="87"/>
      <c r="C382" s="87"/>
      <c r="D382" s="87"/>
      <c r="E382" s="87"/>
      <c r="F382" s="87"/>
      <c r="G382" s="87"/>
      <c r="H382" s="87"/>
      <c r="I382" s="87"/>
      <c r="J382" s="87"/>
      <c r="K382" s="87"/>
      <c r="L382" s="87"/>
      <c r="M382" s="87"/>
      <c r="N382" s="87"/>
      <c r="O382" s="87"/>
      <c r="P382" s="87"/>
      <c r="Q382" s="87"/>
      <c r="R382" s="87"/>
      <c r="S382" s="87"/>
      <c r="T382" s="87"/>
      <c r="U382" s="87"/>
      <c r="V382" s="87"/>
      <c r="W382" s="87"/>
      <c r="X382" s="87"/>
      <c r="Y382" s="87"/>
      <c r="Z382" s="87"/>
      <c r="AA382" s="87"/>
      <c r="AB382" s="87"/>
      <c r="AC382" s="87"/>
      <c r="AD382" s="87"/>
      <c r="AE382" s="87"/>
      <c r="AF382" s="87"/>
      <c r="AG382" s="87"/>
      <c r="AH382" s="87"/>
      <c r="AI382" s="87"/>
      <c r="AJ382" s="87"/>
      <c r="AK382" s="87"/>
      <c r="AL382" s="87"/>
      <c r="AM382" s="87"/>
      <c r="AN382" s="87"/>
      <c r="AO382" s="87"/>
      <c r="AP382" s="87"/>
      <c r="AQ382" s="87"/>
      <c r="AR382" s="87"/>
      <c r="AS382" s="87"/>
    </row>
    <row r="383" spans="1:45">
      <c r="A383" s="87"/>
      <c r="B383" s="87"/>
      <c r="C383" s="87"/>
      <c r="D383" s="87"/>
      <c r="E383" s="87"/>
      <c r="F383" s="87"/>
      <c r="G383" s="87"/>
      <c r="H383" s="87"/>
      <c r="I383" s="87"/>
      <c r="J383" s="87"/>
      <c r="K383" s="87"/>
      <c r="L383" s="87"/>
      <c r="M383" s="87"/>
      <c r="N383" s="87"/>
      <c r="O383" s="87"/>
      <c r="P383" s="87"/>
      <c r="Q383" s="87"/>
      <c r="R383" s="87"/>
      <c r="S383" s="87"/>
      <c r="T383" s="87"/>
      <c r="U383" s="87"/>
      <c r="V383" s="87"/>
      <c r="W383" s="87"/>
      <c r="X383" s="87"/>
      <c r="Y383" s="87"/>
      <c r="Z383" s="87"/>
      <c r="AA383" s="87"/>
      <c r="AB383" s="87"/>
      <c r="AC383" s="87"/>
      <c r="AD383" s="87"/>
      <c r="AE383" s="87"/>
      <c r="AF383" s="87"/>
      <c r="AG383" s="87"/>
      <c r="AH383" s="87"/>
      <c r="AI383" s="87"/>
      <c r="AJ383" s="87"/>
      <c r="AK383" s="87"/>
      <c r="AL383" s="87"/>
      <c r="AM383" s="87"/>
      <c r="AN383" s="87"/>
      <c r="AO383" s="87"/>
      <c r="AP383" s="87"/>
      <c r="AQ383" s="87"/>
      <c r="AR383" s="87"/>
      <c r="AS383" s="87"/>
    </row>
    <row r="384" spans="1:45">
      <c r="A384" s="87"/>
      <c r="B384" s="87"/>
      <c r="C384" s="87"/>
      <c r="D384" s="87"/>
      <c r="E384" s="87"/>
      <c r="F384" s="87"/>
      <c r="G384" s="87"/>
      <c r="H384" s="87"/>
      <c r="I384" s="87"/>
      <c r="J384" s="87"/>
      <c r="K384" s="87"/>
      <c r="L384" s="87"/>
      <c r="M384" s="87"/>
      <c r="N384" s="87"/>
      <c r="O384" s="87"/>
      <c r="P384" s="87"/>
      <c r="Q384" s="87"/>
      <c r="R384" s="87"/>
      <c r="S384" s="87"/>
      <c r="T384" s="87"/>
      <c r="U384" s="87"/>
      <c r="V384" s="87"/>
      <c r="W384" s="87"/>
      <c r="X384" s="87"/>
      <c r="Y384" s="87"/>
      <c r="Z384" s="87"/>
      <c r="AA384" s="87"/>
      <c r="AB384" s="87"/>
      <c r="AC384" s="87"/>
      <c r="AD384" s="87"/>
      <c r="AE384" s="87"/>
      <c r="AF384" s="87"/>
      <c r="AG384" s="87"/>
      <c r="AH384" s="87"/>
      <c r="AI384" s="87"/>
      <c r="AJ384" s="87"/>
      <c r="AK384" s="87"/>
      <c r="AL384" s="87"/>
      <c r="AM384" s="87"/>
      <c r="AN384" s="87"/>
      <c r="AO384" s="87"/>
      <c r="AP384" s="87"/>
      <c r="AQ384" s="87"/>
      <c r="AR384" s="87"/>
      <c r="AS384" s="87"/>
    </row>
    <row r="385" spans="1:45">
      <c r="A385" s="87"/>
      <c r="B385" s="87"/>
      <c r="C385" s="87"/>
      <c r="D385" s="87"/>
      <c r="E385" s="87"/>
      <c r="F385" s="87"/>
      <c r="G385" s="87"/>
      <c r="H385" s="87"/>
      <c r="I385" s="87"/>
      <c r="J385" s="87"/>
      <c r="K385" s="87"/>
      <c r="L385" s="87"/>
      <c r="M385" s="87"/>
      <c r="N385" s="87"/>
      <c r="O385" s="87"/>
      <c r="P385" s="87"/>
      <c r="Q385" s="87"/>
      <c r="R385" s="87"/>
      <c r="S385" s="87"/>
      <c r="T385" s="87"/>
      <c r="U385" s="87"/>
      <c r="V385" s="87"/>
      <c r="W385" s="87"/>
      <c r="X385" s="87"/>
      <c r="Y385" s="87"/>
      <c r="Z385" s="87"/>
      <c r="AA385" s="87"/>
      <c r="AB385" s="87"/>
      <c r="AC385" s="87"/>
      <c r="AD385" s="87"/>
      <c r="AE385" s="87"/>
      <c r="AF385" s="87"/>
      <c r="AG385" s="87"/>
      <c r="AH385" s="87"/>
      <c r="AI385" s="87"/>
      <c r="AJ385" s="87"/>
      <c r="AK385" s="87"/>
      <c r="AL385" s="87"/>
      <c r="AM385" s="87"/>
      <c r="AN385" s="87"/>
      <c r="AO385" s="87"/>
      <c r="AP385" s="87"/>
      <c r="AQ385" s="87"/>
      <c r="AR385" s="87"/>
      <c r="AS385" s="87"/>
    </row>
    <row r="386" spans="1:45">
      <c r="A386" s="87"/>
      <c r="B386" s="87"/>
      <c r="C386" s="87"/>
      <c r="D386" s="87"/>
      <c r="E386" s="87"/>
      <c r="F386" s="87"/>
      <c r="G386" s="87"/>
      <c r="H386" s="87"/>
      <c r="I386" s="87"/>
      <c r="J386" s="87"/>
      <c r="K386" s="87"/>
      <c r="L386" s="87"/>
      <c r="M386" s="87"/>
      <c r="N386" s="87"/>
      <c r="O386" s="87"/>
      <c r="P386" s="87"/>
      <c r="Q386" s="87"/>
      <c r="R386" s="87"/>
      <c r="S386" s="87"/>
      <c r="T386" s="87"/>
      <c r="U386" s="87"/>
      <c r="V386" s="87"/>
      <c r="W386" s="87"/>
      <c r="X386" s="87"/>
      <c r="Y386" s="87"/>
      <c r="Z386" s="87"/>
      <c r="AA386" s="87"/>
      <c r="AB386" s="87"/>
      <c r="AC386" s="87"/>
      <c r="AD386" s="87"/>
      <c r="AE386" s="87"/>
      <c r="AF386" s="87"/>
      <c r="AG386" s="87"/>
      <c r="AH386" s="87"/>
      <c r="AI386" s="87"/>
      <c r="AJ386" s="87"/>
      <c r="AK386" s="87"/>
      <c r="AL386" s="87"/>
      <c r="AM386" s="87"/>
      <c r="AN386" s="87"/>
      <c r="AO386" s="87"/>
      <c r="AP386" s="87"/>
      <c r="AQ386" s="87"/>
      <c r="AR386" s="87"/>
      <c r="AS386" s="87"/>
    </row>
    <row r="387" spans="1:45">
      <c r="A387" s="87"/>
      <c r="B387" s="87"/>
      <c r="C387" s="87"/>
      <c r="D387" s="87"/>
      <c r="E387" s="87"/>
      <c r="F387" s="87"/>
      <c r="G387" s="87"/>
      <c r="H387" s="87"/>
      <c r="I387" s="87"/>
      <c r="J387" s="87"/>
      <c r="K387" s="87"/>
      <c r="L387" s="87"/>
      <c r="M387" s="87"/>
      <c r="N387" s="87"/>
      <c r="O387" s="87"/>
      <c r="P387" s="87"/>
      <c r="Q387" s="87"/>
      <c r="R387" s="87"/>
      <c r="S387" s="87"/>
      <c r="T387" s="87"/>
      <c r="U387" s="87"/>
      <c r="V387" s="87"/>
      <c r="W387" s="87"/>
      <c r="X387" s="87"/>
      <c r="Y387" s="87"/>
      <c r="Z387" s="87"/>
      <c r="AA387" s="87"/>
      <c r="AB387" s="87"/>
      <c r="AC387" s="87"/>
      <c r="AD387" s="87"/>
      <c r="AE387" s="87"/>
      <c r="AF387" s="87"/>
      <c r="AG387" s="87"/>
      <c r="AH387" s="87"/>
      <c r="AI387" s="87"/>
      <c r="AJ387" s="87"/>
      <c r="AK387" s="87"/>
      <c r="AL387" s="87"/>
      <c r="AM387" s="87"/>
      <c r="AN387" s="87"/>
      <c r="AO387" s="87"/>
      <c r="AP387" s="87"/>
      <c r="AQ387" s="87"/>
      <c r="AR387" s="87"/>
      <c r="AS387" s="87"/>
    </row>
    <row r="388" spans="1:45">
      <c r="A388" s="87"/>
      <c r="B388" s="87"/>
      <c r="C388" s="87"/>
      <c r="D388" s="87"/>
      <c r="E388" s="87"/>
      <c r="F388" s="87"/>
      <c r="G388" s="87"/>
      <c r="H388" s="87"/>
      <c r="I388" s="87"/>
      <c r="J388" s="87"/>
      <c r="K388" s="87"/>
      <c r="L388" s="87"/>
      <c r="M388" s="87"/>
      <c r="N388" s="87"/>
      <c r="O388" s="87"/>
      <c r="P388" s="87"/>
      <c r="Q388" s="87"/>
      <c r="R388" s="87"/>
      <c r="S388" s="87"/>
      <c r="T388" s="87"/>
      <c r="U388" s="87"/>
      <c r="V388" s="87"/>
      <c r="W388" s="87"/>
      <c r="X388" s="87"/>
      <c r="Y388" s="87"/>
      <c r="Z388" s="87"/>
      <c r="AA388" s="87"/>
      <c r="AB388" s="87"/>
      <c r="AC388" s="87"/>
      <c r="AD388" s="87"/>
      <c r="AE388" s="87"/>
      <c r="AF388" s="87"/>
      <c r="AG388" s="87"/>
      <c r="AH388" s="87"/>
      <c r="AI388" s="87"/>
      <c r="AJ388" s="87"/>
      <c r="AK388" s="87"/>
      <c r="AL388" s="87"/>
      <c r="AM388" s="87"/>
      <c r="AN388" s="87"/>
      <c r="AO388" s="87"/>
      <c r="AP388" s="87"/>
      <c r="AQ388" s="87"/>
      <c r="AR388" s="87"/>
      <c r="AS388" s="87"/>
    </row>
    <row r="389" spans="1:45">
      <c r="A389" s="87"/>
      <c r="B389" s="87"/>
      <c r="C389" s="87"/>
      <c r="D389" s="87"/>
      <c r="E389" s="87"/>
      <c r="F389" s="87"/>
      <c r="G389" s="87"/>
      <c r="H389" s="87"/>
      <c r="I389" s="87"/>
      <c r="J389" s="87"/>
      <c r="K389" s="87"/>
      <c r="L389" s="87"/>
      <c r="M389" s="87"/>
      <c r="N389" s="87"/>
      <c r="O389" s="87"/>
      <c r="P389" s="87"/>
      <c r="Q389" s="87"/>
      <c r="R389" s="87"/>
      <c r="S389" s="87"/>
      <c r="T389" s="87"/>
      <c r="U389" s="87"/>
      <c r="V389" s="87"/>
      <c r="W389" s="87"/>
      <c r="X389" s="87"/>
      <c r="Y389" s="87"/>
      <c r="Z389" s="87"/>
      <c r="AA389" s="87"/>
      <c r="AB389" s="87"/>
      <c r="AC389" s="87"/>
      <c r="AD389" s="87"/>
      <c r="AE389" s="87"/>
      <c r="AF389" s="87"/>
      <c r="AG389" s="87"/>
      <c r="AH389" s="87"/>
      <c r="AI389" s="87"/>
      <c r="AJ389" s="87"/>
      <c r="AK389" s="87"/>
      <c r="AL389" s="87"/>
      <c r="AM389" s="87"/>
      <c r="AN389" s="87"/>
      <c r="AO389" s="87"/>
      <c r="AP389" s="87"/>
      <c r="AQ389" s="87"/>
      <c r="AR389" s="87"/>
      <c r="AS389" s="87"/>
    </row>
    <row r="390" spans="1:45">
      <c r="A390" s="87"/>
      <c r="B390" s="87"/>
      <c r="C390" s="87"/>
      <c r="D390" s="87"/>
      <c r="E390" s="87"/>
      <c r="F390" s="87"/>
      <c r="G390" s="87"/>
      <c r="H390" s="87"/>
      <c r="I390" s="87"/>
      <c r="J390" s="87"/>
      <c r="K390" s="87"/>
      <c r="L390" s="87"/>
      <c r="M390" s="87"/>
      <c r="N390" s="87"/>
      <c r="O390" s="87"/>
      <c r="P390" s="87"/>
      <c r="Q390" s="87"/>
      <c r="R390" s="87"/>
      <c r="S390" s="87"/>
      <c r="T390" s="87"/>
      <c r="U390" s="87"/>
      <c r="V390" s="87"/>
      <c r="W390" s="87"/>
      <c r="X390" s="87"/>
      <c r="Y390" s="87"/>
      <c r="Z390" s="87"/>
      <c r="AA390" s="87"/>
      <c r="AB390" s="87"/>
      <c r="AC390" s="87"/>
      <c r="AD390" s="87"/>
      <c r="AE390" s="87"/>
      <c r="AF390" s="87"/>
      <c r="AG390" s="87"/>
      <c r="AH390" s="87"/>
      <c r="AI390" s="87"/>
      <c r="AJ390" s="87"/>
      <c r="AK390" s="87"/>
      <c r="AL390" s="87"/>
      <c r="AM390" s="87"/>
      <c r="AN390" s="87"/>
      <c r="AO390" s="87"/>
      <c r="AP390" s="87"/>
      <c r="AQ390" s="87"/>
      <c r="AR390" s="87"/>
      <c r="AS390" s="87"/>
    </row>
    <row r="391" spans="1:45">
      <c r="A391" s="87"/>
      <c r="B391" s="87"/>
      <c r="C391" s="87"/>
      <c r="D391" s="87"/>
      <c r="E391" s="87"/>
      <c r="F391" s="87"/>
      <c r="G391" s="87"/>
      <c r="H391" s="87"/>
      <c r="I391" s="87"/>
      <c r="J391" s="87"/>
      <c r="K391" s="87"/>
      <c r="L391" s="87"/>
      <c r="M391" s="87"/>
      <c r="N391" s="87"/>
      <c r="O391" s="87"/>
      <c r="P391" s="87"/>
      <c r="Q391" s="87"/>
      <c r="R391" s="87"/>
      <c r="S391" s="87"/>
      <c r="T391" s="87"/>
      <c r="U391" s="87"/>
      <c r="V391" s="87"/>
      <c r="W391" s="87"/>
      <c r="X391" s="87"/>
      <c r="Y391" s="87"/>
      <c r="Z391" s="87"/>
      <c r="AA391" s="87"/>
      <c r="AB391" s="87"/>
      <c r="AC391" s="87"/>
      <c r="AD391" s="87"/>
      <c r="AE391" s="87"/>
      <c r="AF391" s="87"/>
      <c r="AG391" s="87"/>
      <c r="AH391" s="87"/>
      <c r="AI391" s="87"/>
      <c r="AJ391" s="87"/>
      <c r="AK391" s="87"/>
      <c r="AL391" s="87"/>
      <c r="AM391" s="87"/>
      <c r="AN391" s="87"/>
      <c r="AO391" s="87"/>
      <c r="AP391" s="87"/>
      <c r="AQ391" s="87"/>
      <c r="AR391" s="87"/>
      <c r="AS391" s="87"/>
    </row>
    <row r="392" spans="1:45">
      <c r="A392" s="87"/>
      <c r="B392" s="87"/>
      <c r="C392" s="87"/>
      <c r="D392" s="87"/>
      <c r="E392" s="87"/>
      <c r="F392" s="87"/>
      <c r="G392" s="87"/>
      <c r="H392" s="87"/>
      <c r="I392" s="87"/>
      <c r="J392" s="87"/>
      <c r="K392" s="87"/>
      <c r="L392" s="87"/>
      <c r="M392" s="87"/>
      <c r="N392" s="87"/>
      <c r="O392" s="87"/>
      <c r="P392" s="87"/>
      <c r="Q392" s="87"/>
      <c r="R392" s="87"/>
      <c r="S392" s="87"/>
      <c r="T392" s="87"/>
      <c r="U392" s="87"/>
      <c r="V392" s="87"/>
      <c r="W392" s="87"/>
      <c r="X392" s="87"/>
      <c r="Y392" s="87"/>
      <c r="Z392" s="87"/>
      <c r="AA392" s="87"/>
      <c r="AB392" s="87"/>
      <c r="AC392" s="87"/>
      <c r="AD392" s="87"/>
      <c r="AE392" s="87"/>
      <c r="AF392" s="87"/>
      <c r="AG392" s="87"/>
      <c r="AH392" s="87"/>
      <c r="AI392" s="87"/>
      <c r="AJ392" s="87"/>
      <c r="AK392" s="87"/>
      <c r="AL392" s="87"/>
      <c r="AM392" s="87"/>
      <c r="AN392" s="87"/>
      <c r="AO392" s="87"/>
      <c r="AP392" s="87"/>
      <c r="AQ392" s="87"/>
      <c r="AR392" s="87"/>
      <c r="AS392" s="87"/>
    </row>
    <row r="393" spans="1:45">
      <c r="A393" s="87"/>
      <c r="B393" s="87"/>
      <c r="C393" s="87"/>
      <c r="D393" s="87"/>
      <c r="E393" s="87"/>
      <c r="F393" s="87"/>
      <c r="G393" s="87"/>
      <c r="H393" s="87"/>
      <c r="I393" s="87"/>
      <c r="J393" s="87"/>
      <c r="K393" s="87"/>
      <c r="L393" s="87"/>
      <c r="M393" s="87"/>
      <c r="N393" s="87"/>
      <c r="O393" s="87"/>
      <c r="P393" s="87"/>
      <c r="Q393" s="87"/>
      <c r="R393" s="87"/>
      <c r="S393" s="87"/>
      <c r="T393" s="87"/>
      <c r="U393" s="87"/>
      <c r="V393" s="87"/>
      <c r="W393" s="87"/>
      <c r="X393" s="87"/>
      <c r="Y393" s="87"/>
      <c r="Z393" s="87"/>
      <c r="AA393" s="87"/>
      <c r="AB393" s="87"/>
      <c r="AC393" s="87"/>
      <c r="AD393" s="87"/>
      <c r="AE393" s="87"/>
      <c r="AF393" s="87"/>
      <c r="AG393" s="87"/>
      <c r="AH393" s="87"/>
      <c r="AI393" s="87"/>
      <c r="AJ393" s="87"/>
      <c r="AK393" s="87"/>
      <c r="AL393" s="87"/>
      <c r="AM393" s="87"/>
      <c r="AN393" s="87"/>
      <c r="AO393" s="87"/>
      <c r="AP393" s="87"/>
      <c r="AQ393" s="87"/>
      <c r="AR393" s="87"/>
      <c r="AS393" s="87"/>
    </row>
    <row r="394" spans="1:45">
      <c r="A394" s="87"/>
      <c r="B394" s="87"/>
      <c r="C394" s="87"/>
      <c r="D394" s="87"/>
      <c r="E394" s="87"/>
      <c r="F394" s="87"/>
      <c r="G394" s="87"/>
      <c r="H394" s="87"/>
      <c r="I394" s="87"/>
      <c r="J394" s="87"/>
      <c r="K394" s="87"/>
      <c r="L394" s="87"/>
      <c r="M394" s="87"/>
      <c r="N394" s="87"/>
      <c r="O394" s="87"/>
      <c r="P394" s="87"/>
      <c r="Q394" s="87"/>
      <c r="R394" s="87"/>
      <c r="S394" s="87"/>
      <c r="T394" s="87"/>
      <c r="U394" s="87"/>
      <c r="V394" s="87"/>
      <c r="W394" s="87"/>
      <c r="X394" s="87"/>
      <c r="Y394" s="87"/>
      <c r="Z394" s="87"/>
      <c r="AA394" s="87"/>
      <c r="AB394" s="87"/>
      <c r="AC394" s="87"/>
      <c r="AD394" s="87"/>
      <c r="AE394" s="87"/>
      <c r="AF394" s="87"/>
      <c r="AG394" s="87"/>
      <c r="AH394" s="87"/>
      <c r="AI394" s="87"/>
      <c r="AJ394" s="87"/>
      <c r="AK394" s="87"/>
      <c r="AL394" s="87"/>
      <c r="AM394" s="87"/>
      <c r="AN394" s="87"/>
      <c r="AO394" s="87"/>
      <c r="AP394" s="87"/>
      <c r="AQ394" s="87"/>
      <c r="AR394" s="87"/>
      <c r="AS394" s="87"/>
    </row>
    <row r="395" spans="1:45">
      <c r="A395" s="87"/>
      <c r="B395" s="87"/>
      <c r="C395" s="87"/>
      <c r="D395" s="87"/>
      <c r="E395" s="87"/>
      <c r="F395" s="87"/>
      <c r="G395" s="87"/>
      <c r="H395" s="87"/>
      <c r="I395" s="87"/>
      <c r="J395" s="87"/>
      <c r="K395" s="87"/>
      <c r="L395" s="87"/>
      <c r="M395" s="87"/>
      <c r="N395" s="87"/>
      <c r="O395" s="87"/>
      <c r="P395" s="87"/>
      <c r="Q395" s="87"/>
      <c r="R395" s="87"/>
      <c r="S395" s="87"/>
      <c r="T395" s="87"/>
      <c r="U395" s="87"/>
      <c r="V395" s="87"/>
      <c r="W395" s="87"/>
      <c r="X395" s="87"/>
      <c r="Y395" s="87"/>
      <c r="Z395" s="87"/>
      <c r="AA395" s="87"/>
      <c r="AB395" s="87"/>
      <c r="AC395" s="87"/>
      <c r="AD395" s="87"/>
      <c r="AE395" s="87"/>
      <c r="AF395" s="87"/>
      <c r="AG395" s="87"/>
      <c r="AH395" s="87"/>
      <c r="AI395" s="87"/>
      <c r="AJ395" s="87"/>
      <c r="AK395" s="87"/>
      <c r="AL395" s="87"/>
      <c r="AM395" s="87"/>
      <c r="AN395" s="87"/>
      <c r="AO395" s="87"/>
      <c r="AP395" s="87"/>
      <c r="AQ395" s="87"/>
      <c r="AR395" s="87"/>
      <c r="AS395" s="87"/>
    </row>
    <row r="396" spans="1:45">
      <c r="A396" s="87"/>
      <c r="B396" s="87"/>
      <c r="C396" s="87"/>
      <c r="D396" s="87"/>
      <c r="E396" s="87"/>
      <c r="F396" s="87"/>
      <c r="G396" s="87"/>
      <c r="H396" s="87"/>
      <c r="I396" s="87"/>
      <c r="J396" s="87"/>
      <c r="K396" s="87"/>
      <c r="L396" s="87"/>
      <c r="M396" s="87"/>
      <c r="N396" s="87"/>
      <c r="O396" s="87"/>
      <c r="P396" s="87"/>
      <c r="Q396" s="87"/>
      <c r="R396" s="87"/>
      <c r="S396" s="87"/>
      <c r="T396" s="87"/>
      <c r="U396" s="87"/>
      <c r="V396" s="87"/>
      <c r="W396" s="87"/>
      <c r="X396" s="87"/>
      <c r="Y396" s="87"/>
      <c r="Z396" s="87"/>
      <c r="AA396" s="87"/>
      <c r="AB396" s="87"/>
      <c r="AC396" s="87"/>
      <c r="AD396" s="87"/>
      <c r="AE396" s="87"/>
      <c r="AF396" s="87"/>
      <c r="AG396" s="87"/>
      <c r="AH396" s="87"/>
      <c r="AI396" s="87"/>
      <c r="AJ396" s="87"/>
      <c r="AK396" s="87"/>
      <c r="AL396" s="87"/>
      <c r="AM396" s="87"/>
      <c r="AN396" s="87"/>
      <c r="AO396" s="87"/>
      <c r="AP396" s="87"/>
      <c r="AQ396" s="87"/>
      <c r="AR396" s="87"/>
      <c r="AS396" s="87"/>
    </row>
    <row r="397" spans="1:45">
      <c r="A397" s="87"/>
      <c r="B397" s="87"/>
      <c r="C397" s="87"/>
      <c r="D397" s="87"/>
      <c r="E397" s="87"/>
      <c r="F397" s="87"/>
      <c r="G397" s="87"/>
      <c r="H397" s="87"/>
      <c r="I397" s="87"/>
      <c r="J397" s="87"/>
      <c r="K397" s="87"/>
      <c r="L397" s="87"/>
      <c r="M397" s="87"/>
      <c r="N397" s="87"/>
      <c r="O397" s="87"/>
      <c r="P397" s="87"/>
      <c r="Q397" s="87"/>
      <c r="R397" s="87"/>
      <c r="S397" s="87"/>
      <c r="T397" s="87"/>
      <c r="U397" s="87"/>
      <c r="V397" s="87"/>
      <c r="W397" s="87"/>
      <c r="X397" s="87"/>
      <c r="Y397" s="87"/>
      <c r="Z397" s="87"/>
      <c r="AA397" s="87"/>
      <c r="AB397" s="87"/>
      <c r="AC397" s="87"/>
      <c r="AD397" s="87"/>
      <c r="AE397" s="87"/>
      <c r="AF397" s="87"/>
      <c r="AG397" s="87"/>
      <c r="AH397" s="87"/>
      <c r="AI397" s="87"/>
      <c r="AJ397" s="87"/>
      <c r="AK397" s="87"/>
      <c r="AL397" s="87"/>
      <c r="AM397" s="87"/>
      <c r="AN397" s="87"/>
      <c r="AO397" s="87"/>
      <c r="AP397" s="87"/>
      <c r="AQ397" s="87"/>
      <c r="AR397" s="87"/>
      <c r="AS397" s="87"/>
    </row>
    <row r="398" spans="1:45">
      <c r="A398" s="87"/>
      <c r="B398" s="87"/>
      <c r="C398" s="87"/>
      <c r="D398" s="87"/>
      <c r="E398" s="87"/>
      <c r="F398" s="87"/>
      <c r="G398" s="87"/>
      <c r="H398" s="87"/>
      <c r="I398" s="87"/>
      <c r="J398" s="87"/>
      <c r="K398" s="87"/>
      <c r="L398" s="87"/>
      <c r="M398" s="87"/>
      <c r="N398" s="87"/>
      <c r="O398" s="87"/>
      <c r="P398" s="87"/>
      <c r="Q398" s="87"/>
      <c r="R398" s="87"/>
      <c r="S398" s="87"/>
      <c r="T398" s="87"/>
      <c r="U398" s="87"/>
      <c r="V398" s="87"/>
      <c r="W398" s="87"/>
      <c r="X398" s="87"/>
      <c r="Y398" s="87"/>
      <c r="Z398" s="87"/>
      <c r="AA398" s="87"/>
      <c r="AB398" s="87"/>
      <c r="AC398" s="87"/>
      <c r="AD398" s="87"/>
      <c r="AE398" s="87"/>
      <c r="AF398" s="87"/>
      <c r="AG398" s="87"/>
      <c r="AH398" s="87"/>
      <c r="AI398" s="87"/>
      <c r="AJ398" s="87"/>
      <c r="AK398" s="87"/>
      <c r="AL398" s="87"/>
      <c r="AM398" s="87"/>
      <c r="AN398" s="87"/>
      <c r="AO398" s="87"/>
      <c r="AP398" s="87"/>
      <c r="AQ398" s="87"/>
      <c r="AR398" s="87"/>
      <c r="AS398" s="87"/>
    </row>
    <row r="399" spans="1:45">
      <c r="A399" s="87"/>
      <c r="B399" s="87"/>
      <c r="C399" s="87"/>
      <c r="D399" s="87"/>
      <c r="E399" s="87"/>
      <c r="F399" s="87"/>
      <c r="G399" s="87"/>
      <c r="H399" s="87"/>
      <c r="I399" s="87"/>
      <c r="J399" s="87"/>
      <c r="K399" s="87"/>
      <c r="L399" s="87"/>
      <c r="M399" s="87"/>
      <c r="N399" s="87"/>
      <c r="O399" s="87"/>
      <c r="P399" s="87"/>
      <c r="Q399" s="87"/>
      <c r="R399" s="87"/>
      <c r="S399" s="87"/>
      <c r="T399" s="87"/>
      <c r="U399" s="87"/>
      <c r="V399" s="87"/>
      <c r="W399" s="87"/>
      <c r="X399" s="87"/>
      <c r="Y399" s="87"/>
      <c r="Z399" s="87"/>
      <c r="AA399" s="87"/>
      <c r="AB399" s="87"/>
      <c r="AC399" s="87"/>
      <c r="AD399" s="87"/>
      <c r="AE399" s="87"/>
      <c r="AF399" s="87"/>
      <c r="AG399" s="87"/>
      <c r="AH399" s="87"/>
      <c r="AI399" s="87"/>
      <c r="AJ399" s="87"/>
      <c r="AK399" s="87"/>
      <c r="AL399" s="87"/>
      <c r="AM399" s="87"/>
      <c r="AN399" s="87"/>
      <c r="AO399" s="87"/>
      <c r="AP399" s="87"/>
      <c r="AQ399" s="87"/>
      <c r="AR399" s="87"/>
      <c r="AS399" s="87"/>
    </row>
    <row r="400" spans="1:45">
      <c r="A400" s="87"/>
      <c r="B400" s="87"/>
      <c r="C400" s="87"/>
      <c r="D400" s="87"/>
      <c r="E400" s="87"/>
      <c r="F400" s="87"/>
      <c r="G400" s="87"/>
      <c r="H400" s="87"/>
      <c r="I400" s="87"/>
      <c r="J400" s="87"/>
      <c r="K400" s="87"/>
      <c r="L400" s="87"/>
      <c r="M400" s="87"/>
      <c r="N400" s="87"/>
      <c r="O400" s="87"/>
      <c r="P400" s="87"/>
      <c r="Q400" s="87"/>
      <c r="R400" s="87"/>
      <c r="S400" s="87"/>
      <c r="T400" s="87"/>
      <c r="U400" s="87"/>
      <c r="V400" s="87"/>
      <c r="W400" s="87"/>
      <c r="X400" s="87"/>
      <c r="Y400" s="87"/>
      <c r="Z400" s="87"/>
      <c r="AA400" s="87"/>
      <c r="AB400" s="87"/>
      <c r="AC400" s="87"/>
      <c r="AD400" s="87"/>
      <c r="AE400" s="87"/>
      <c r="AF400" s="87"/>
      <c r="AG400" s="87"/>
      <c r="AH400" s="87"/>
      <c r="AI400" s="87"/>
      <c r="AJ400" s="87"/>
      <c r="AK400" s="87"/>
      <c r="AL400" s="87"/>
      <c r="AM400" s="87"/>
      <c r="AN400" s="87"/>
      <c r="AO400" s="87"/>
      <c r="AP400" s="87"/>
      <c r="AQ400" s="87"/>
      <c r="AR400" s="87"/>
      <c r="AS400" s="87"/>
    </row>
    <row r="401" spans="1:45">
      <c r="A401" s="87"/>
      <c r="B401" s="87"/>
      <c r="C401" s="87"/>
      <c r="D401" s="87"/>
      <c r="E401" s="87"/>
      <c r="F401" s="87"/>
      <c r="G401" s="87"/>
      <c r="H401" s="87"/>
      <c r="I401" s="87"/>
      <c r="J401" s="87"/>
      <c r="K401" s="87"/>
      <c r="L401" s="87"/>
      <c r="M401" s="87"/>
      <c r="N401" s="87"/>
      <c r="O401" s="87"/>
      <c r="P401" s="87"/>
      <c r="Q401" s="87"/>
      <c r="R401" s="87"/>
      <c r="S401" s="87"/>
      <c r="T401" s="87"/>
      <c r="U401" s="87"/>
      <c r="V401" s="87"/>
      <c r="W401" s="87"/>
      <c r="X401" s="87"/>
      <c r="Y401" s="87"/>
      <c r="Z401" s="87"/>
      <c r="AA401" s="87"/>
      <c r="AB401" s="87"/>
      <c r="AC401" s="87"/>
      <c r="AD401" s="87"/>
      <c r="AE401" s="87"/>
      <c r="AF401" s="87"/>
      <c r="AG401" s="87"/>
      <c r="AH401" s="87"/>
      <c r="AI401" s="87"/>
      <c r="AJ401" s="87"/>
      <c r="AK401" s="87"/>
      <c r="AL401" s="87"/>
      <c r="AM401" s="87"/>
      <c r="AN401" s="87"/>
      <c r="AO401" s="87"/>
      <c r="AP401" s="87"/>
      <c r="AQ401" s="87"/>
      <c r="AR401" s="87"/>
      <c r="AS401" s="87"/>
    </row>
    <row r="402" spans="1:45">
      <c r="A402" s="87"/>
      <c r="B402" s="87"/>
      <c r="C402" s="87"/>
      <c r="D402" s="87"/>
      <c r="E402" s="87"/>
      <c r="F402" s="87"/>
      <c r="G402" s="87"/>
      <c r="H402" s="87"/>
      <c r="I402" s="87"/>
      <c r="J402" s="87"/>
      <c r="K402" s="87"/>
      <c r="L402" s="87"/>
      <c r="M402" s="87"/>
      <c r="N402" s="87"/>
      <c r="O402" s="87"/>
      <c r="P402" s="87"/>
      <c r="Q402" s="87"/>
      <c r="R402" s="87"/>
      <c r="S402" s="87"/>
      <c r="T402" s="87"/>
      <c r="U402" s="87"/>
      <c r="V402" s="87"/>
      <c r="W402" s="87"/>
      <c r="X402" s="87"/>
      <c r="Y402" s="87"/>
      <c r="Z402" s="87"/>
      <c r="AA402" s="87"/>
      <c r="AB402" s="87"/>
      <c r="AC402" s="87"/>
      <c r="AD402" s="87"/>
      <c r="AE402" s="87"/>
      <c r="AF402" s="87"/>
      <c r="AG402" s="87"/>
      <c r="AH402" s="87"/>
      <c r="AI402" s="87"/>
      <c r="AJ402" s="87"/>
      <c r="AK402" s="87"/>
      <c r="AL402" s="87"/>
      <c r="AM402" s="87"/>
      <c r="AN402" s="87"/>
      <c r="AO402" s="87"/>
      <c r="AP402" s="87"/>
      <c r="AQ402" s="87"/>
      <c r="AR402" s="87"/>
      <c r="AS402" s="87"/>
    </row>
    <row r="403" spans="1:45">
      <c r="A403" s="87"/>
      <c r="B403" s="87"/>
      <c r="C403" s="87"/>
      <c r="D403" s="87"/>
      <c r="E403" s="87"/>
      <c r="F403" s="87"/>
      <c r="G403" s="87"/>
      <c r="H403" s="87"/>
      <c r="I403" s="87"/>
      <c r="J403" s="87"/>
      <c r="K403" s="87"/>
      <c r="L403" s="87"/>
      <c r="M403" s="87"/>
      <c r="N403" s="87"/>
      <c r="O403" s="87"/>
      <c r="P403" s="87"/>
      <c r="Q403" s="87"/>
      <c r="R403" s="87"/>
      <c r="S403" s="87"/>
      <c r="T403" s="87"/>
      <c r="U403" s="87"/>
      <c r="V403" s="87"/>
      <c r="W403" s="87"/>
      <c r="X403" s="87"/>
      <c r="Y403" s="87"/>
      <c r="Z403" s="87"/>
      <c r="AA403" s="87"/>
      <c r="AB403" s="87"/>
      <c r="AC403" s="87"/>
      <c r="AD403" s="87"/>
      <c r="AE403" s="87"/>
      <c r="AF403" s="87"/>
      <c r="AG403" s="87"/>
      <c r="AH403" s="87"/>
      <c r="AI403" s="87"/>
      <c r="AJ403" s="87"/>
      <c r="AK403" s="87"/>
      <c r="AL403" s="87"/>
      <c r="AM403" s="87"/>
      <c r="AN403" s="87"/>
      <c r="AO403" s="87"/>
      <c r="AP403" s="87"/>
      <c r="AQ403" s="87"/>
      <c r="AR403" s="87"/>
      <c r="AS403" s="87"/>
    </row>
    <row r="404" spans="1:45">
      <c r="A404" s="87"/>
      <c r="B404" s="87"/>
      <c r="C404" s="87"/>
      <c r="D404" s="87"/>
      <c r="E404" s="87"/>
      <c r="F404" s="87"/>
      <c r="G404" s="87"/>
      <c r="H404" s="87"/>
      <c r="I404" s="87"/>
      <c r="J404" s="87"/>
      <c r="K404" s="87"/>
      <c r="L404" s="87"/>
      <c r="M404" s="87"/>
      <c r="N404" s="87"/>
      <c r="O404" s="87"/>
      <c r="P404" s="87"/>
      <c r="Q404" s="87"/>
      <c r="R404" s="87"/>
      <c r="S404" s="87"/>
      <c r="T404" s="87"/>
      <c r="U404" s="87"/>
      <c r="V404" s="87"/>
      <c r="W404" s="87"/>
      <c r="X404" s="87"/>
      <c r="Y404" s="87"/>
      <c r="Z404" s="87"/>
      <c r="AA404" s="87"/>
      <c r="AB404" s="87"/>
      <c r="AC404" s="87"/>
      <c r="AD404" s="87"/>
      <c r="AE404" s="87"/>
      <c r="AF404" s="87"/>
      <c r="AG404" s="87"/>
      <c r="AH404" s="87"/>
      <c r="AI404" s="87"/>
      <c r="AJ404" s="87"/>
      <c r="AK404" s="87"/>
      <c r="AL404" s="87"/>
      <c r="AM404" s="87"/>
      <c r="AN404" s="87"/>
      <c r="AO404" s="87"/>
      <c r="AP404" s="87"/>
      <c r="AQ404" s="87"/>
      <c r="AR404" s="87"/>
      <c r="AS404" s="87"/>
    </row>
    <row r="405" spans="1:45">
      <c r="A405" s="87"/>
      <c r="B405" s="87"/>
      <c r="C405" s="87"/>
      <c r="D405" s="87"/>
      <c r="E405" s="87"/>
      <c r="F405" s="87"/>
      <c r="G405" s="87"/>
      <c r="H405" s="87"/>
      <c r="I405" s="87"/>
      <c r="J405" s="87"/>
      <c r="K405" s="87"/>
      <c r="L405" s="87"/>
      <c r="M405" s="87"/>
      <c r="N405" s="87"/>
      <c r="O405" s="87"/>
      <c r="P405" s="87"/>
      <c r="Q405" s="87"/>
      <c r="R405" s="87"/>
      <c r="S405" s="87"/>
      <c r="T405" s="87"/>
      <c r="U405" s="87"/>
      <c r="V405" s="87"/>
      <c r="W405" s="87"/>
      <c r="X405" s="87"/>
      <c r="Y405" s="87"/>
      <c r="Z405" s="87"/>
      <c r="AA405" s="87"/>
      <c r="AB405" s="87"/>
      <c r="AC405" s="87"/>
      <c r="AD405" s="87"/>
      <c r="AE405" s="87"/>
      <c r="AF405" s="87"/>
      <c r="AG405" s="87"/>
      <c r="AH405" s="87"/>
      <c r="AI405" s="87"/>
      <c r="AJ405" s="87"/>
      <c r="AK405" s="87"/>
      <c r="AL405" s="87"/>
      <c r="AM405" s="87"/>
      <c r="AN405" s="87"/>
      <c r="AO405" s="87"/>
      <c r="AP405" s="87"/>
      <c r="AQ405" s="87"/>
      <c r="AR405" s="87"/>
      <c r="AS405" s="87"/>
    </row>
    <row r="406" spans="1:45">
      <c r="A406" s="87"/>
      <c r="B406" s="87"/>
      <c r="C406" s="87"/>
      <c r="D406" s="87"/>
      <c r="E406" s="87"/>
      <c r="F406" s="87"/>
      <c r="G406" s="87"/>
      <c r="H406" s="87"/>
      <c r="I406" s="87"/>
      <c r="J406" s="87"/>
      <c r="K406" s="87"/>
      <c r="L406" s="87"/>
      <c r="M406" s="87"/>
      <c r="N406" s="87"/>
      <c r="O406" s="87"/>
      <c r="P406" s="87"/>
      <c r="Q406" s="87"/>
      <c r="R406" s="87"/>
      <c r="S406" s="87"/>
      <c r="T406" s="87"/>
      <c r="U406" s="87"/>
      <c r="V406" s="87"/>
      <c r="W406" s="87"/>
      <c r="X406" s="87"/>
      <c r="Y406" s="87"/>
      <c r="Z406" s="87"/>
      <c r="AA406" s="87"/>
      <c r="AB406" s="87"/>
      <c r="AC406" s="87"/>
      <c r="AD406" s="87"/>
      <c r="AE406" s="87"/>
      <c r="AF406" s="87"/>
      <c r="AG406" s="87"/>
      <c r="AH406" s="87"/>
      <c r="AI406" s="87"/>
      <c r="AJ406" s="87"/>
      <c r="AK406" s="87"/>
      <c r="AL406" s="87"/>
      <c r="AM406" s="87"/>
      <c r="AN406" s="87"/>
      <c r="AO406" s="87"/>
      <c r="AP406" s="87"/>
      <c r="AQ406" s="87"/>
      <c r="AR406" s="87"/>
      <c r="AS406" s="87"/>
    </row>
    <row r="407" spans="1:45">
      <c r="A407" s="87"/>
      <c r="B407" s="87"/>
      <c r="C407" s="87"/>
      <c r="D407" s="87"/>
      <c r="E407" s="87"/>
      <c r="F407" s="87"/>
      <c r="G407" s="87"/>
      <c r="H407" s="87"/>
      <c r="I407" s="87"/>
      <c r="J407" s="87"/>
      <c r="K407" s="87"/>
      <c r="L407" s="87"/>
      <c r="M407" s="87"/>
      <c r="N407" s="87"/>
      <c r="O407" s="87"/>
      <c r="P407" s="87"/>
      <c r="Q407" s="87"/>
      <c r="R407" s="87"/>
      <c r="S407" s="87"/>
      <c r="T407" s="87"/>
      <c r="U407" s="87"/>
      <c r="V407" s="87"/>
      <c r="W407" s="87"/>
      <c r="X407" s="87"/>
      <c r="Y407" s="87"/>
      <c r="Z407" s="87"/>
      <c r="AA407" s="87"/>
      <c r="AB407" s="87"/>
      <c r="AC407" s="87"/>
      <c r="AD407" s="87"/>
      <c r="AE407" s="87"/>
      <c r="AF407" s="87"/>
      <c r="AG407" s="87"/>
      <c r="AH407" s="87"/>
      <c r="AI407" s="87"/>
      <c r="AJ407" s="87"/>
      <c r="AK407" s="87"/>
      <c r="AL407" s="87"/>
      <c r="AM407" s="87"/>
      <c r="AN407" s="87"/>
      <c r="AO407" s="87"/>
      <c r="AP407" s="87"/>
      <c r="AQ407" s="87"/>
      <c r="AR407" s="87"/>
      <c r="AS407" s="87"/>
    </row>
    <row r="408" spans="1:45">
      <c r="A408" s="87"/>
      <c r="B408" s="87"/>
      <c r="C408" s="87"/>
      <c r="D408" s="87"/>
      <c r="E408" s="87"/>
      <c r="F408" s="87"/>
      <c r="G408" s="87"/>
      <c r="H408" s="87"/>
      <c r="I408" s="87"/>
      <c r="J408" s="87"/>
      <c r="K408" s="87"/>
      <c r="L408" s="87"/>
      <c r="M408" s="87"/>
      <c r="N408" s="87"/>
      <c r="O408" s="87"/>
      <c r="P408" s="87"/>
      <c r="Q408" s="87"/>
      <c r="R408" s="87"/>
      <c r="S408" s="87"/>
      <c r="T408" s="87"/>
      <c r="U408" s="87"/>
      <c r="V408" s="87"/>
      <c r="W408" s="87"/>
      <c r="X408" s="87"/>
      <c r="Y408" s="87"/>
      <c r="Z408" s="87"/>
      <c r="AA408" s="87"/>
      <c r="AB408" s="87"/>
      <c r="AC408" s="87"/>
      <c r="AD408" s="87"/>
      <c r="AE408" s="87"/>
      <c r="AF408" s="87"/>
      <c r="AG408" s="87"/>
      <c r="AH408" s="87"/>
      <c r="AI408" s="87"/>
      <c r="AJ408" s="87"/>
      <c r="AK408" s="87"/>
      <c r="AL408" s="87"/>
      <c r="AM408" s="87"/>
      <c r="AN408" s="87"/>
      <c r="AO408" s="87"/>
      <c r="AP408" s="87"/>
      <c r="AQ408" s="87"/>
      <c r="AR408" s="87"/>
      <c r="AS408" s="87"/>
    </row>
    <row r="409" spans="1:45">
      <c r="A409" s="87"/>
      <c r="B409" s="87"/>
      <c r="C409" s="87"/>
      <c r="D409" s="87"/>
      <c r="E409" s="87"/>
      <c r="F409" s="87"/>
      <c r="G409" s="87"/>
      <c r="H409" s="87"/>
      <c r="I409" s="87"/>
      <c r="J409" s="87"/>
      <c r="K409" s="87"/>
      <c r="L409" s="87"/>
      <c r="M409" s="87"/>
      <c r="N409" s="87"/>
      <c r="O409" s="87"/>
      <c r="P409" s="87"/>
      <c r="Q409" s="87"/>
      <c r="R409" s="87"/>
      <c r="S409" s="87"/>
      <c r="T409" s="87"/>
      <c r="U409" s="87"/>
      <c r="V409" s="87"/>
      <c r="W409" s="87"/>
      <c r="X409" s="87"/>
      <c r="Y409" s="87"/>
      <c r="Z409" s="87"/>
      <c r="AA409" s="87"/>
      <c r="AB409" s="87"/>
      <c r="AC409" s="87"/>
      <c r="AD409" s="87"/>
      <c r="AE409" s="87"/>
      <c r="AF409" s="87"/>
      <c r="AG409" s="87"/>
      <c r="AH409" s="87"/>
      <c r="AI409" s="87"/>
      <c r="AJ409" s="87"/>
      <c r="AK409" s="87"/>
      <c r="AL409" s="87"/>
      <c r="AM409" s="87"/>
      <c r="AN409" s="87"/>
      <c r="AO409" s="87"/>
      <c r="AP409" s="87"/>
      <c r="AQ409" s="87"/>
      <c r="AR409" s="87"/>
      <c r="AS409" s="87"/>
    </row>
    <row r="410" spans="1:45">
      <c r="A410" s="87"/>
      <c r="B410" s="87"/>
      <c r="C410" s="87"/>
      <c r="D410" s="87"/>
      <c r="E410" s="87"/>
      <c r="F410" s="87"/>
      <c r="G410" s="87"/>
      <c r="H410" s="87"/>
      <c r="I410" s="87"/>
      <c r="J410" s="87"/>
      <c r="K410" s="87"/>
      <c r="L410" s="87"/>
      <c r="M410" s="87"/>
      <c r="N410" s="87"/>
      <c r="O410" s="87"/>
      <c r="P410" s="87"/>
      <c r="Q410" s="87"/>
      <c r="R410" s="87"/>
      <c r="S410" s="87"/>
      <c r="T410" s="87"/>
      <c r="U410" s="87"/>
      <c r="V410" s="87"/>
      <c r="W410" s="87"/>
      <c r="X410" s="87"/>
      <c r="Y410" s="87"/>
      <c r="Z410" s="87"/>
      <c r="AA410" s="87"/>
      <c r="AB410" s="87"/>
      <c r="AC410" s="87"/>
      <c r="AD410" s="87"/>
      <c r="AE410" s="87"/>
      <c r="AF410" s="87"/>
      <c r="AG410" s="87"/>
      <c r="AH410" s="87"/>
      <c r="AI410" s="87"/>
      <c r="AJ410" s="87"/>
      <c r="AK410" s="87"/>
      <c r="AL410" s="87"/>
      <c r="AM410" s="87"/>
      <c r="AN410" s="87"/>
      <c r="AO410" s="87"/>
      <c r="AP410" s="87"/>
      <c r="AQ410" s="87"/>
      <c r="AR410" s="87"/>
      <c r="AS410" s="87"/>
    </row>
    <row r="411" spans="1:45">
      <c r="A411" s="87"/>
      <c r="B411" s="87"/>
      <c r="C411" s="87"/>
      <c r="D411" s="87"/>
      <c r="E411" s="87"/>
      <c r="F411" s="87"/>
      <c r="G411" s="87"/>
      <c r="H411" s="87"/>
      <c r="I411" s="87"/>
      <c r="J411" s="87"/>
      <c r="K411" s="87"/>
      <c r="L411" s="87"/>
      <c r="M411" s="87"/>
      <c r="N411" s="87"/>
      <c r="O411" s="87"/>
      <c r="P411" s="87"/>
      <c r="Q411" s="87"/>
      <c r="R411" s="87"/>
      <c r="S411" s="87"/>
      <c r="T411" s="87"/>
      <c r="U411" s="87"/>
      <c r="V411" s="87"/>
      <c r="W411" s="87"/>
      <c r="X411" s="87"/>
      <c r="Y411" s="87"/>
      <c r="Z411" s="87"/>
      <c r="AA411" s="87"/>
      <c r="AB411" s="87"/>
      <c r="AC411" s="87"/>
      <c r="AD411" s="87"/>
      <c r="AE411" s="87"/>
      <c r="AF411" s="87"/>
      <c r="AG411" s="87"/>
      <c r="AH411" s="87"/>
      <c r="AI411" s="87"/>
      <c r="AJ411" s="87"/>
      <c r="AK411" s="87"/>
      <c r="AL411" s="87"/>
      <c r="AM411" s="87"/>
      <c r="AN411" s="87"/>
      <c r="AO411" s="87"/>
      <c r="AP411" s="87"/>
      <c r="AQ411" s="87"/>
      <c r="AR411" s="87"/>
      <c r="AS411" s="87"/>
    </row>
    <row r="412" spans="1:45">
      <c r="A412" s="87"/>
      <c r="B412" s="87"/>
      <c r="C412" s="87"/>
      <c r="D412" s="87"/>
      <c r="E412" s="87"/>
      <c r="F412" s="87"/>
      <c r="G412" s="87"/>
      <c r="H412" s="87"/>
      <c r="I412" s="87"/>
      <c r="J412" s="87"/>
      <c r="K412" s="87"/>
      <c r="L412" s="87"/>
      <c r="M412" s="87"/>
      <c r="N412" s="87"/>
      <c r="O412" s="87"/>
      <c r="P412" s="87"/>
      <c r="Q412" s="87"/>
      <c r="R412" s="87"/>
      <c r="S412" s="87"/>
      <c r="T412" s="87"/>
      <c r="U412" s="87"/>
      <c r="V412" s="87"/>
      <c r="W412" s="87"/>
      <c r="X412" s="87"/>
      <c r="Y412" s="87"/>
      <c r="Z412" s="87"/>
      <c r="AA412" s="87"/>
      <c r="AB412" s="87"/>
      <c r="AC412" s="87"/>
      <c r="AD412" s="87"/>
      <c r="AE412" s="87"/>
      <c r="AF412" s="87"/>
      <c r="AG412" s="87"/>
      <c r="AH412" s="87"/>
      <c r="AI412" s="87"/>
      <c r="AJ412" s="87"/>
      <c r="AK412" s="87"/>
      <c r="AL412" s="87"/>
      <c r="AM412" s="87"/>
      <c r="AN412" s="87"/>
      <c r="AO412" s="87"/>
      <c r="AP412" s="87"/>
      <c r="AQ412" s="87"/>
      <c r="AR412" s="87"/>
      <c r="AS412" s="87"/>
    </row>
  </sheetData>
  <sheetProtection insertHyperlinks="0" pivotTables="0"/>
  <hyperlinks>
    <hyperlink ref="B11" r:id="rId1" xr:uid="{00000000-0004-0000-1100-000000000000}"/>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22529" r:id="rId4" name="ProtectToggle">
              <controlPr locked="0" defaultSize="0" print="0" autoFill="0" autoPict="0" macro="[0]!AcceptLicenseAgreement">
                <anchor moveWithCells="1">
                  <from>
                    <xdr:col>1</xdr:col>
                    <xdr:colOff>1457325</xdr:colOff>
                    <xdr:row>14</xdr:row>
                    <xdr:rowOff>161925</xdr:rowOff>
                  </from>
                  <to>
                    <xdr:col>1</xdr:col>
                    <xdr:colOff>4524375</xdr:colOff>
                    <xdr:row>17</xdr:row>
                    <xdr:rowOff>47625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UserRegistration"/>
  <dimension ref="A1:N17"/>
  <sheetViews>
    <sheetView zoomScaleNormal="100" workbookViewId="0"/>
  </sheetViews>
  <sheetFormatPr defaultRowHeight="12.75"/>
  <cols>
    <col min="1" max="1" width="24" customWidth="1"/>
    <col min="2" max="2" width="33.140625" customWidth="1"/>
  </cols>
  <sheetData>
    <row r="1" spans="1:14" ht="18.75" customHeight="1">
      <c r="A1" s="416" t="s">
        <v>2337</v>
      </c>
      <c r="B1" s="417">
        <f>'Group R'!E2</f>
        <v>0</v>
      </c>
      <c r="C1" s="416"/>
      <c r="D1" s="416"/>
      <c r="E1" s="416"/>
      <c r="F1" s="416"/>
      <c r="G1" s="416"/>
      <c r="H1" s="416"/>
      <c r="I1" s="416"/>
      <c r="J1" s="416"/>
      <c r="K1" s="416"/>
      <c r="L1" s="416"/>
      <c r="M1" s="416"/>
      <c r="N1" s="416"/>
    </row>
    <row r="2" spans="1:14">
      <c r="A2" s="94"/>
    </row>
    <row r="3" spans="1:14">
      <c r="A3" s="413" t="s">
        <v>2341</v>
      </c>
      <c r="B3" s="409" t="s">
        <v>2247</v>
      </c>
    </row>
    <row r="4" spans="1:14">
      <c r="A4" s="414" t="s">
        <v>2342</v>
      </c>
      <c r="B4" s="410" t="s">
        <v>2248</v>
      </c>
    </row>
    <row r="5" spans="1:14">
      <c r="A5" s="414" t="s">
        <v>2335</v>
      </c>
      <c r="B5" s="415">
        <v>44058</v>
      </c>
    </row>
    <row r="6" spans="1:14">
      <c r="A6" s="414" t="s">
        <v>2336</v>
      </c>
      <c r="B6" s="411" t="s">
        <v>2338</v>
      </c>
    </row>
    <row r="7" spans="1:14">
      <c r="A7" s="414" t="s">
        <v>2243</v>
      </c>
      <c r="B7" s="410" t="s">
        <v>2249</v>
      </c>
    </row>
    <row r="8" spans="1:14">
      <c r="A8" s="414" t="s">
        <v>2244</v>
      </c>
      <c r="B8" s="410"/>
    </row>
    <row r="9" spans="1:14">
      <c r="A9" s="414" t="s">
        <v>2329</v>
      </c>
      <c r="B9" s="410"/>
    </row>
    <row r="10" spans="1:14">
      <c r="A10" s="414" t="s">
        <v>2330</v>
      </c>
      <c r="B10" s="410"/>
    </row>
    <row r="11" spans="1:14">
      <c r="A11" s="414" t="s">
        <v>2332</v>
      </c>
      <c r="B11" s="410"/>
    </row>
    <row r="12" spans="1:14">
      <c r="A12" s="414" t="s">
        <v>2333</v>
      </c>
      <c r="B12" s="410"/>
    </row>
    <row r="13" spans="1:14">
      <c r="A13" s="414" t="s">
        <v>2246</v>
      </c>
      <c r="B13" s="412" t="s">
        <v>2328</v>
      </c>
    </row>
    <row r="14" spans="1:14">
      <c r="A14" s="414" t="s">
        <v>2245</v>
      </c>
      <c r="B14" s="410"/>
    </row>
    <row r="15" spans="1:14">
      <c r="A15" s="414" t="s">
        <v>2331</v>
      </c>
      <c r="B15" s="410"/>
    </row>
    <row r="16" spans="1:14">
      <c r="A16" s="414" t="s">
        <v>2334</v>
      </c>
      <c r="B16" s="410" t="s">
        <v>2340</v>
      </c>
    </row>
    <row r="17" spans="1:2">
      <c r="A17" s="418" t="s">
        <v>2339</v>
      </c>
      <c r="B17" s="419">
        <v>1</v>
      </c>
    </row>
  </sheetData>
  <sheetProtection formatCells="0" insertHyperlinks="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267</vt:i4>
      </vt:variant>
    </vt:vector>
  </HeadingPairs>
  <TitlesOfParts>
    <vt:vector size="283" baseType="lpstr">
      <vt:lpstr>Initializing</vt:lpstr>
      <vt:lpstr>Getting Started</vt:lpstr>
      <vt:lpstr>Unblocking Macros</vt:lpstr>
      <vt:lpstr>Copyright</vt:lpstr>
      <vt:lpstr>Group R</vt:lpstr>
      <vt:lpstr>Vertical Glazing</vt:lpstr>
      <vt:lpstr>Overhead Glazing</vt:lpstr>
      <vt:lpstr>Doors</vt:lpstr>
      <vt:lpstr>Flat-Vaulted Ceilings</vt:lpstr>
      <vt:lpstr>Walls(above grade)</vt:lpstr>
      <vt:lpstr>Floors</vt:lpstr>
      <vt:lpstr>Slab on Grade</vt:lpstr>
      <vt:lpstr>Below Grade Walls &amp; Slabs</vt:lpstr>
      <vt:lpstr>Table 406.2 (WSEC 2015)</vt:lpstr>
      <vt:lpstr>Weather</vt:lpstr>
      <vt:lpstr>Prototypes</vt:lpstr>
      <vt:lpstr>AddToMailingList</vt:lpstr>
      <vt:lpstr>'Below Grade Walls &amp; Slabs'!CalculationHideArea</vt:lpstr>
      <vt:lpstr>Copyright!CalculationHideArea</vt:lpstr>
      <vt:lpstr>'Group R'!CalculationHideArea</vt:lpstr>
      <vt:lpstr>CalculationHideArea</vt:lpstr>
      <vt:lpstr>CalculationHideArea_Columns</vt:lpstr>
      <vt:lpstr>CoinMask</vt:lpstr>
      <vt:lpstr>Columns_ExistingBaseline</vt:lpstr>
      <vt:lpstr>CompanyName</vt:lpstr>
      <vt:lpstr>ContactInfo1</vt:lpstr>
      <vt:lpstr>ContactInfo2</vt:lpstr>
      <vt:lpstr>ContactInfo3</vt:lpstr>
      <vt:lpstr>ContactInfo4</vt:lpstr>
      <vt:lpstr>CountRegistrations</vt:lpstr>
      <vt:lpstr>Demographic</vt:lpstr>
      <vt:lpstr>DropDown_AboveGradeWalls</vt:lpstr>
      <vt:lpstr>DropDown_AirHandlerLocation</vt:lpstr>
      <vt:lpstr>DropDown_Balanced</vt:lpstr>
      <vt:lpstr>DropDown_BelowGradeSlab</vt:lpstr>
      <vt:lpstr>DropDown_BelowGradeWalls</vt:lpstr>
      <vt:lpstr>DropDown_Cities</vt:lpstr>
      <vt:lpstr>DropDown_CodeVersion</vt:lpstr>
      <vt:lpstr>DropDown_Distribution</vt:lpstr>
      <vt:lpstr>DropDown_Doors</vt:lpstr>
      <vt:lpstr>DropDown_DuctLocation</vt:lpstr>
      <vt:lpstr>DropDown_FlatVaultedCeilings</vt:lpstr>
      <vt:lpstr>DropDown_FloorOverCrawlspace</vt:lpstr>
      <vt:lpstr>DropDown_FuelNormalizationSystem</vt:lpstr>
      <vt:lpstr>DropDown_HideShow</vt:lpstr>
      <vt:lpstr>DropDown_Occupancy</vt:lpstr>
      <vt:lpstr>DropDown_Option_1</vt:lpstr>
      <vt:lpstr>DropDown_Option_2</vt:lpstr>
      <vt:lpstr>DropDown_Option_3</vt:lpstr>
      <vt:lpstr>DropDown_Option_39</vt:lpstr>
      <vt:lpstr>DropDown_Option_4</vt:lpstr>
      <vt:lpstr>DropDown_Option_5</vt:lpstr>
      <vt:lpstr>DropDown_Option_51</vt:lpstr>
      <vt:lpstr>DropDown_Option_52</vt:lpstr>
      <vt:lpstr>DropDown_Option_5a</vt:lpstr>
      <vt:lpstr>DropDown_Option_5bc</vt:lpstr>
      <vt:lpstr>DropDown_Option_5d</vt:lpstr>
      <vt:lpstr>DropDown_Option_6</vt:lpstr>
      <vt:lpstr>DropDown_Option_7</vt:lpstr>
      <vt:lpstr>DropDown_OverheadGlazing</vt:lpstr>
      <vt:lpstr>DropDown_PercentRunTime</vt:lpstr>
      <vt:lpstr>DropDown_ProjectType</vt:lpstr>
      <vt:lpstr>DropDown_RowAction</vt:lpstr>
      <vt:lpstr>DropDown_SlabDepths</vt:lpstr>
      <vt:lpstr>DropDown_SlabOnGrade</vt:lpstr>
      <vt:lpstr>DropDown_SystemType</vt:lpstr>
      <vt:lpstr>DropDown_UseOfCalculator</vt:lpstr>
      <vt:lpstr>DropDown_VerticalGlazing</vt:lpstr>
      <vt:lpstr>DropDown_YesNo</vt:lpstr>
      <vt:lpstr>DropDown_YesNoNA</vt:lpstr>
      <vt:lpstr>DuctTesting_Exceptions</vt:lpstr>
      <vt:lpstr>Error_Option3</vt:lpstr>
      <vt:lpstr>ExcelVersion</vt:lpstr>
      <vt:lpstr>ExceptionTotal</vt:lpstr>
      <vt:lpstr>FirstName</vt:lpstr>
      <vt:lpstr>Flag_IsDuctless</vt:lpstr>
      <vt:lpstr>FuelNormSystem_Option</vt:lpstr>
      <vt:lpstr>FuelNormSystem_Option_31</vt:lpstr>
      <vt:lpstr>FuelNormSystem_Option_32</vt:lpstr>
      <vt:lpstr>FuelNormSystem_Option_33</vt:lpstr>
      <vt:lpstr>FuelNormSystem_Option_34</vt:lpstr>
      <vt:lpstr>FuelNormSystem_Option_35</vt:lpstr>
      <vt:lpstr>FuelNormSystem_Option_36</vt:lpstr>
      <vt:lpstr>FuelNormSystem_Option_37</vt:lpstr>
      <vt:lpstr>FuelNormSystem_Option2</vt:lpstr>
      <vt:lpstr>InputArea_ThermalDist</vt:lpstr>
      <vt:lpstr>IntroMessage</vt:lpstr>
      <vt:lpstr>IntroMessage2</vt:lpstr>
      <vt:lpstr>IPAddressCurrent</vt:lpstr>
      <vt:lpstr>IPAddressRegistered</vt:lpstr>
      <vt:lpstr>Item_ProjectType_Addition</vt:lpstr>
      <vt:lpstr>Item_ProjectType_AdditionAlteration</vt:lpstr>
      <vt:lpstr>Item_ProjectType_RemodelAlteration</vt:lpstr>
      <vt:lpstr>Item_Use_CompleteForms</vt:lpstr>
      <vt:lpstr>LastName</vt:lpstr>
      <vt:lpstr>LastWindowRow</vt:lpstr>
      <vt:lpstr>LeakageStandard_Lower</vt:lpstr>
      <vt:lpstr>LeakageStandard_Upper</vt:lpstr>
      <vt:lpstr>MacroMessage</vt:lpstr>
      <vt:lpstr>Menu_AirHandlerInstalled</vt:lpstr>
      <vt:lpstr>Menu_AirHandlerLocation</vt:lpstr>
      <vt:lpstr>Menu_CodeVersion</vt:lpstr>
      <vt:lpstr>Menu_DuctLocation</vt:lpstr>
      <vt:lpstr>Menu_HydronicHeatingSystem</vt:lpstr>
      <vt:lpstr>Menu_Option1</vt:lpstr>
      <vt:lpstr>Menu_Option4</vt:lpstr>
      <vt:lpstr>Menu_PostConstructionTest</vt:lpstr>
      <vt:lpstr>Menu_ProjectType</vt:lpstr>
      <vt:lpstr>Menu_UseOfCalculator</vt:lpstr>
      <vt:lpstr>MenuItem_ConditionedSpace</vt:lpstr>
      <vt:lpstr>MenuItem_NonDwellingUnit</vt:lpstr>
      <vt:lpstr>MenuItem_TotalUA</vt:lpstr>
      <vt:lpstr>MenuItem_UFactorPath</vt:lpstr>
      <vt:lpstr>MenuItem_UnconditionedSpace</vt:lpstr>
      <vt:lpstr>MenuItem_Unducted</vt:lpstr>
      <vt:lpstr>MenuItem_UserDefinedBaseline</vt:lpstr>
      <vt:lpstr>MenuItem_WSEC2018</vt:lpstr>
      <vt:lpstr>MenuSelection_FuelNormSystemType</vt:lpstr>
      <vt:lpstr>MenuSelection_Option3</vt:lpstr>
      <vt:lpstr>MenuSelection_Option5</vt:lpstr>
      <vt:lpstr>Message_FloorArea</vt:lpstr>
      <vt:lpstr>MessageWarning_FuelNormalizationOption</vt:lpstr>
      <vt:lpstr>MessageWarning_FuelNormalizationSystem</vt:lpstr>
      <vt:lpstr>PageBreak_2</vt:lpstr>
      <vt:lpstr>PageBreak_2a</vt:lpstr>
      <vt:lpstr>PageBreak_2b</vt:lpstr>
      <vt:lpstr>PageBreak_3</vt:lpstr>
      <vt:lpstr>'Getting Started'!Print_Area</vt:lpstr>
      <vt:lpstr>'Group R'!Print_Area</vt:lpstr>
      <vt:lpstr>Instructions!Print_Area</vt:lpstr>
      <vt:lpstr>'Getting Started'!Print_Area_1</vt:lpstr>
      <vt:lpstr>'Group R'!Print_Area_1</vt:lpstr>
      <vt:lpstr>Print_Area_2</vt:lpstr>
      <vt:lpstr>RegisteredVersion</vt:lpstr>
      <vt:lpstr>RegistrationDate</vt:lpstr>
      <vt:lpstr>Section_AirHandlerInstalled</vt:lpstr>
      <vt:lpstr>Section_AnalysisSetUp</vt:lpstr>
      <vt:lpstr>Section_DistributionCalculator</vt:lpstr>
      <vt:lpstr>Section_DuctTestingExceptions</vt:lpstr>
      <vt:lpstr>Section_DuctTestLeakageRateCalc</vt:lpstr>
      <vt:lpstr>Section_EnergyCreditResults</vt:lpstr>
      <vt:lpstr>Section_EnergyCredits</vt:lpstr>
      <vt:lpstr>Section_EnergyCredits_Options2_6</vt:lpstr>
      <vt:lpstr>Section_Exempt</vt:lpstr>
      <vt:lpstr>Section_FuelNormalization</vt:lpstr>
      <vt:lpstr>Section_HeatingSystemSizing</vt:lpstr>
      <vt:lpstr>Section_HideCompleteFormsOnly</vt:lpstr>
      <vt:lpstr>Section_OptionSelections</vt:lpstr>
      <vt:lpstr>'Group R'!Section_ShowCompleteFormsOnly</vt:lpstr>
      <vt:lpstr>Section_UserRegistrationData</vt:lpstr>
      <vt:lpstr>Section_VentilationCalculator</vt:lpstr>
      <vt:lpstr>Section_WindowRows</vt:lpstr>
      <vt:lpstr>Section_WSEC2021</vt:lpstr>
      <vt:lpstr>SheetProtection</vt:lpstr>
      <vt:lpstr>SheetsUnhidden</vt:lpstr>
      <vt:lpstr>Switch_CodeVersion</vt:lpstr>
      <vt:lpstr>Switch_DuctTestingRequired</vt:lpstr>
      <vt:lpstr>Switch_OnlyForms</vt:lpstr>
      <vt:lpstr>Switch_Option41Selected</vt:lpstr>
      <vt:lpstr>Switch_ShowDistributionCalculator</vt:lpstr>
      <vt:lpstr>Switch_ShowExempt</vt:lpstr>
      <vt:lpstr>Switch_ShowHeatingSystemSizing</vt:lpstr>
      <vt:lpstr>Switch_ShowVentilationCalculator</vt:lpstr>
      <vt:lpstr>Switch_UseOfCalculator_Columns</vt:lpstr>
      <vt:lpstr>Switch_UseOfCalculator_Rows</vt:lpstr>
      <vt:lpstr>Table_AboveGradeWalls</vt:lpstr>
      <vt:lpstr>Table_Areas</vt:lpstr>
      <vt:lpstr>Table_BelowGradeWalls</vt:lpstr>
      <vt:lpstr>Table_ColumnEnergyCredits</vt:lpstr>
      <vt:lpstr>Table_CustomBelowGradeSlab</vt:lpstr>
      <vt:lpstr>Table_Doors</vt:lpstr>
      <vt:lpstr>Table_DuctLossMultiplier</vt:lpstr>
      <vt:lpstr>Table_EnergyCredits</vt:lpstr>
      <vt:lpstr>Table_FlatVaultedCeilings</vt:lpstr>
      <vt:lpstr>Table_FloorOverCrawlspace</vt:lpstr>
      <vt:lpstr>Table_FuelNormalization</vt:lpstr>
      <vt:lpstr>Table_FuelNormCreditOption3Rules</vt:lpstr>
      <vt:lpstr>Table_FuelNormCreditRules</vt:lpstr>
      <vt:lpstr>Table_IsMaxGlazingApplied</vt:lpstr>
      <vt:lpstr>Table_MaxOutputMultiplier</vt:lpstr>
      <vt:lpstr>Table_Option_1_Selected</vt:lpstr>
      <vt:lpstr>Table_Option_2_Selected</vt:lpstr>
      <vt:lpstr>Table_Option_3_Selected</vt:lpstr>
      <vt:lpstr>Table_Option_39</vt:lpstr>
      <vt:lpstr>Table_Option_39_Selected</vt:lpstr>
      <vt:lpstr>Table_Option_4_Selected</vt:lpstr>
      <vt:lpstr>Table_Option_5_Selected</vt:lpstr>
      <vt:lpstr>Table_Option_51_Selected</vt:lpstr>
      <vt:lpstr>Table_Option_52_Selected</vt:lpstr>
      <vt:lpstr>Table_Option_5d</vt:lpstr>
      <vt:lpstr>Table_Option_6_Selected</vt:lpstr>
      <vt:lpstr>Table_Option_7_Selected</vt:lpstr>
      <vt:lpstr>Table_Option1</vt:lpstr>
      <vt:lpstr>Table_Option1_WSEC2015</vt:lpstr>
      <vt:lpstr>Table_Option1_WSEC2018</vt:lpstr>
      <vt:lpstr>Table_Option2</vt:lpstr>
      <vt:lpstr>Table_Option3</vt:lpstr>
      <vt:lpstr>Table_Option4</vt:lpstr>
      <vt:lpstr>Table_Option5</vt:lpstr>
      <vt:lpstr>Table_Option51</vt:lpstr>
      <vt:lpstr>Table_Option52</vt:lpstr>
      <vt:lpstr>Table_Option6</vt:lpstr>
      <vt:lpstr>Table_Option7</vt:lpstr>
      <vt:lpstr>Table_OverheadGlazing</vt:lpstr>
      <vt:lpstr>Table_SlabOnGrade</vt:lpstr>
      <vt:lpstr>Table_UseOfCalculator</vt:lpstr>
      <vt:lpstr>Table_Uvalue_Options</vt:lpstr>
      <vt:lpstr>Table_VerticalGlazing</vt:lpstr>
      <vt:lpstr>Table_Weather</vt:lpstr>
      <vt:lpstr>Top_of_AboveGradeWalls_Proposed</vt:lpstr>
      <vt:lpstr>Top_of_BelowGradeSlabs_Proposed</vt:lpstr>
      <vt:lpstr>Top_of_Ceiling_Proposed</vt:lpstr>
      <vt:lpstr>Top_of_CustomAboveGradeWalls</vt:lpstr>
      <vt:lpstr>Top_of_CustomBelowGradeSlabs</vt:lpstr>
      <vt:lpstr>Top_of_CustomCeiling</vt:lpstr>
      <vt:lpstr>Top_of_CustomDoors</vt:lpstr>
      <vt:lpstr>Top_of_CustomFloors</vt:lpstr>
      <vt:lpstr>Top_of_CustomOverheadGlazing</vt:lpstr>
      <vt:lpstr>Top_of_CustomSlabs</vt:lpstr>
      <vt:lpstr>Top_of_CustomWindows</vt:lpstr>
      <vt:lpstr>Top_of_Doors_Proposed</vt:lpstr>
      <vt:lpstr>Top_of_DropDown_AboveGradeWalls</vt:lpstr>
      <vt:lpstr>Top_of_DropDown_BelowGradeWalls</vt:lpstr>
      <vt:lpstr>Top_of_DropDown_Doors</vt:lpstr>
      <vt:lpstr>Top_of_DropDown_FlatVaultedCeilings</vt:lpstr>
      <vt:lpstr>Top_of_DropDown_FloorOverCrawlspace</vt:lpstr>
      <vt:lpstr>Top_of_DropDown_Option_1</vt:lpstr>
      <vt:lpstr>Top_of_DropDown_Option_2</vt:lpstr>
      <vt:lpstr>Top_of_DropDown_Option_3</vt:lpstr>
      <vt:lpstr>Top_of_DropDown_Option_39</vt:lpstr>
      <vt:lpstr>Top_of_DropDown_Option_4</vt:lpstr>
      <vt:lpstr>Top_of_DropDown_Option_5</vt:lpstr>
      <vt:lpstr>Top_of_DropDown_Option_51</vt:lpstr>
      <vt:lpstr>Top_of_DropDown_Option_52</vt:lpstr>
      <vt:lpstr>Top_of_DropDown_Option_6</vt:lpstr>
      <vt:lpstr>Top_of_DropDown_Option_7</vt:lpstr>
      <vt:lpstr>Top_of_DropDown_OverheadGlazing</vt:lpstr>
      <vt:lpstr>Top_of_DropDown_SlabOnGrade</vt:lpstr>
      <vt:lpstr>Top_of_DropDown_VerticalGlazing</vt:lpstr>
      <vt:lpstr>Top_of_Floors</vt:lpstr>
      <vt:lpstr>Top_of_Floors_Proposed</vt:lpstr>
      <vt:lpstr>Top_of_HeatingSystemSizing</vt:lpstr>
      <vt:lpstr>Top_of_OverheadGlazing_Proposed</vt:lpstr>
      <vt:lpstr>'Agreement Not Accepted'!Top_of_Sheet</vt:lpstr>
      <vt:lpstr>'Below Grade Walls &amp; Slabs'!Top_of_Sheet</vt:lpstr>
      <vt:lpstr>Copyright!Top_of_Sheet</vt:lpstr>
      <vt:lpstr>Doors!Top_of_Sheet</vt:lpstr>
      <vt:lpstr>'Flat-Vaulted Ceilings'!Top_of_Sheet</vt:lpstr>
      <vt:lpstr>Floors!Top_of_Sheet</vt:lpstr>
      <vt:lpstr>'Getting Started'!Top_of_Sheet</vt:lpstr>
      <vt:lpstr>'Group R'!Top_of_Sheet</vt:lpstr>
      <vt:lpstr>Initializing!Top_of_Sheet</vt:lpstr>
      <vt:lpstr>Instructions!Top_of_Sheet</vt:lpstr>
      <vt:lpstr>'Overhead Glazing'!Top_of_Sheet</vt:lpstr>
      <vt:lpstr>Prototypes!Top_of_Sheet</vt:lpstr>
      <vt:lpstr>'Slab on Grade'!Top_of_Sheet</vt:lpstr>
      <vt:lpstr>UserRegistration!Top_of_Sheet</vt:lpstr>
      <vt:lpstr>'Vertical Glazing'!Top_of_Sheet</vt:lpstr>
      <vt:lpstr>'Walls(above grade)'!Top_of_Sheet</vt:lpstr>
      <vt:lpstr>Weather!Top_of_Sheet</vt:lpstr>
      <vt:lpstr>Top_of_Sheet</vt:lpstr>
      <vt:lpstr>Top_of_Slabs_Proposed</vt:lpstr>
      <vt:lpstr>Top_of_ThermalEnvelopeDetails</vt:lpstr>
      <vt:lpstr>Top_of_VerticalGlazing_Proposed</vt:lpstr>
      <vt:lpstr>TopOf_UserRegistrationToSend</vt:lpstr>
      <vt:lpstr>'Below Grade Walls &amp; Slabs'!Unlock</vt:lpstr>
      <vt:lpstr>Copyright!Unlock</vt:lpstr>
      <vt:lpstr>Doors!Unlock</vt:lpstr>
      <vt:lpstr>'Flat-Vaulted Ceilings'!Unlock</vt:lpstr>
      <vt:lpstr>Floors!Unlock</vt:lpstr>
      <vt:lpstr>'Getting Started'!Unlock</vt:lpstr>
      <vt:lpstr>'Group R'!Unlock</vt:lpstr>
      <vt:lpstr>Initializing!Unlock</vt:lpstr>
      <vt:lpstr>'Overhead Glazing'!Unlock</vt:lpstr>
      <vt:lpstr>'Slab on Grade'!Unlock</vt:lpstr>
      <vt:lpstr>'Vertical Glazing'!Unlock</vt:lpstr>
      <vt:lpstr>'Walls(above grade)'!Unlock</vt:lpstr>
      <vt:lpstr>UserCity</vt:lpstr>
      <vt:lpstr>UserState</vt:lpstr>
      <vt:lpstr>Version</vt:lpstr>
      <vt:lpstr>VersionDate</vt:lpstr>
      <vt:lpstr>WindowRowsToShow</vt:lpstr>
      <vt:lpstr>Zipcode</vt:lpstr>
    </vt:vector>
  </TitlesOfParts>
  <Company>WSU Energy Program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WSU</dc:creator>
  <cp:lastModifiedBy>Jordan Panteleeff</cp:lastModifiedBy>
  <cp:lastPrinted>2025-01-13T21:37:51Z</cp:lastPrinted>
  <dcterms:created xsi:type="dcterms:W3CDTF">2002-03-17T03:22:29Z</dcterms:created>
  <dcterms:modified xsi:type="dcterms:W3CDTF">2026-06-04T16:10:48Z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